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725" yWindow="30" windowWidth="14865" windowHeight="11775" tabRatio="937" firstSheet="5" activeTab="8"/>
  </bookViews>
  <sheets>
    <sheet name="ROZPOČET_RO4" sheetId="38" state="hidden" r:id="rId1"/>
    <sheet name="ROZPOČET_RO3" sheetId="37" state="hidden" r:id="rId2"/>
    <sheet name="ROZPOČET_RO2" sheetId="36" state="hidden" r:id="rId3"/>
    <sheet name="VÝHLED_FINAL" sheetId="34" state="hidden" r:id="rId4"/>
    <sheet name="ROZPOČET_FINAL" sheetId="33" state="hidden" r:id="rId5"/>
    <sheet name="VÝHLEDnávrh" sheetId="15" r:id="rId6"/>
    <sheet name="ROZPOČETnávrh" sheetId="14" r:id="rId7"/>
    <sheet name="Rozpis_Příjmy" sheetId="4" r:id="rId8"/>
    <sheet name="Rozpis_Výdaje" sheetId="5" r:id="rId9"/>
    <sheet name="2023_vlastní aktivity" sheetId="39" state="hidden" r:id="rId10"/>
    <sheet name="odměny ZO 2023" sheetId="43" state="hidden" r:id="rId11"/>
  </sheets>
  <externalReferences>
    <externalReference r:id="rId12"/>
    <externalReference r:id="rId13"/>
    <externalReference r:id="rId14"/>
  </externalReferences>
  <definedNames>
    <definedName name="_xlnm._FilterDatabase" localSheetId="7" hidden="1">Rozpis_Příjmy!$A$4:$CG$20</definedName>
    <definedName name="_xlnm._FilterDatabase" localSheetId="8" hidden="1">Rozpis_Výdaje!$A$4:$GG$302</definedName>
    <definedName name="JR_PAGE_ANCHOR_0_2">#REF!</definedName>
    <definedName name="JR_PAGE_ANCHOR_0_3">#REF!</definedName>
    <definedName name="_xlnm.Print_Area" localSheetId="4">ROZPOČET_FINAL!$A$1:$H$32</definedName>
    <definedName name="_xlnm.Print_Area" localSheetId="2">ROZPOČET_RO2!$A$2:$L$33</definedName>
    <definedName name="_xlnm.Print_Area" localSheetId="1">ROZPOČET_RO3!$A$1:$O$35</definedName>
    <definedName name="_xlnm.Print_Area" localSheetId="0">ROZPOČET_RO4!$A$1:$R$34</definedName>
    <definedName name="_xlnm.Print_Area" localSheetId="6">ROZPOČETnávrh!$A$1:$H$30</definedName>
  </definedNames>
  <calcPr calcId="125725"/>
</workbook>
</file>

<file path=xl/calcChain.xml><?xml version="1.0" encoding="utf-8"?>
<calcChain xmlns="http://schemas.openxmlformats.org/spreadsheetml/2006/main">
  <c r="E11" i="15"/>
  <c r="D15"/>
  <c r="D16" s="1"/>
  <c r="D7"/>
  <c r="D8"/>
  <c r="D9"/>
  <c r="D6"/>
  <c r="C14"/>
  <c r="C15"/>
  <c r="C16" s="1"/>
  <c r="C7"/>
  <c r="C8"/>
  <c r="C9"/>
  <c r="C6"/>
  <c r="D10" l="1"/>
  <c r="C10"/>
  <c r="F23" i="14"/>
  <c r="DC107" i="5"/>
  <c r="DC83"/>
  <c r="DC85"/>
  <c r="DC135"/>
  <c r="DC244" l="1"/>
  <c r="DC241"/>
  <c r="DC240"/>
  <c r="C7" i="43"/>
  <c r="C3"/>
  <c r="C4"/>
  <c r="C5"/>
  <c r="C6"/>
  <c r="C2"/>
  <c r="DC152" i="5"/>
  <c r="DC146"/>
  <c r="DC145"/>
  <c r="DC311" l="1"/>
  <c r="CS28" i="4"/>
  <c r="CS24"/>
  <c r="DD311" i="5" l="1"/>
  <c r="DE311"/>
  <c r="CS63" i="4"/>
  <c r="DC33" i="5"/>
  <c r="DC237"/>
  <c r="CR14" i="4"/>
  <c r="CS14" s="1"/>
  <c r="CS64"/>
  <c r="CS62"/>
  <c r="CS61"/>
  <c r="CS60"/>
  <c r="CS59"/>
  <c r="CS58"/>
  <c r="CS57"/>
  <c r="CS50"/>
  <c r="CS45"/>
  <c r="CS41"/>
  <c r="CS40"/>
  <c r="CS36"/>
  <c r="CS32"/>
  <c r="CS25"/>
  <c r="CS23"/>
  <c r="CS22"/>
  <c r="CS19"/>
  <c r="CS16"/>
  <c r="CS15"/>
  <c r="CS13"/>
  <c r="CS12"/>
  <c r="CS11"/>
  <c r="CS10"/>
  <c r="CS8"/>
  <c r="CS7"/>
  <c r="CS6"/>
  <c r="CS5"/>
  <c r="CR88"/>
  <c r="CS88" s="1"/>
  <c r="CP88"/>
  <c r="D23" i="14"/>
  <c r="E23"/>
  <c r="C23"/>
  <c r="DA111" i="5" l="1"/>
  <c r="CX301"/>
  <c r="CU301"/>
  <c r="CX291"/>
  <c r="CU291"/>
  <c r="CX286"/>
  <c r="CU286"/>
  <c r="CX279"/>
  <c r="CU279"/>
  <c r="CX275"/>
  <c r="CU275"/>
  <c r="CY271"/>
  <c r="CX271"/>
  <c r="CV271"/>
  <c r="CU271"/>
  <c r="CX270"/>
  <c r="CU270"/>
  <c r="CX269"/>
  <c r="CU269"/>
  <c r="CX237"/>
  <c r="CU237"/>
  <c r="CX207"/>
  <c r="CU207"/>
  <c r="CX202"/>
  <c r="CU202"/>
  <c r="CX201"/>
  <c r="CU201"/>
  <c r="CX200"/>
  <c r="CU200"/>
  <c r="CY178"/>
  <c r="CX178"/>
  <c r="CV178"/>
  <c r="CU178"/>
  <c r="CX176"/>
  <c r="CU176"/>
  <c r="CX174"/>
  <c r="CU174"/>
  <c r="CX167"/>
  <c r="CU167"/>
  <c r="CX166"/>
  <c r="CU166"/>
  <c r="CX165"/>
  <c r="CU165"/>
  <c r="CY142"/>
  <c r="CX142"/>
  <c r="CV142"/>
  <c r="CU142"/>
  <c r="CX141"/>
  <c r="CU141"/>
  <c r="CY132"/>
  <c r="CX132"/>
  <c r="CV132"/>
  <c r="CU132"/>
  <c r="CX131"/>
  <c r="CU131"/>
  <c r="CX125"/>
  <c r="CU125"/>
  <c r="CX124"/>
  <c r="CU124"/>
  <c r="CX121"/>
  <c r="CU121"/>
  <c r="CX120"/>
  <c r="CU120"/>
  <c r="CX113"/>
  <c r="CU113"/>
  <c r="CX112"/>
  <c r="CU112"/>
  <c r="CX111"/>
  <c r="CU111"/>
  <c r="CX103"/>
  <c r="CU103"/>
  <c r="CX102"/>
  <c r="CU102"/>
  <c r="CX98"/>
  <c r="CU98"/>
  <c r="CX97"/>
  <c r="CU97"/>
  <c r="CX84"/>
  <c r="CU84"/>
  <c r="CX83"/>
  <c r="CU83"/>
  <c r="CX74"/>
  <c r="CU74"/>
  <c r="CX71"/>
  <c r="CU71"/>
  <c r="CX70"/>
  <c r="CU70"/>
  <c r="CX59"/>
  <c r="CU59"/>
  <c r="CX58"/>
  <c r="CU58"/>
  <c r="CX46"/>
  <c r="CU46"/>
  <c r="CX38"/>
  <c r="CU38"/>
  <c r="CX33"/>
  <c r="CU33"/>
  <c r="CX28"/>
  <c r="CU28"/>
  <c r="CX22"/>
  <c r="CU22"/>
  <c r="CX21"/>
  <c r="CU21"/>
  <c r="CX20"/>
  <c r="CU20"/>
  <c r="CX8"/>
  <c r="CU8"/>
  <c r="CM92" i="4"/>
  <c r="CJ92"/>
  <c r="CM88"/>
  <c r="CJ88"/>
  <c r="CM66"/>
  <c r="CJ66"/>
  <c r="CM30"/>
  <c r="CJ30"/>
  <c r="CM20"/>
  <c r="CJ20"/>
  <c r="CM90" l="1"/>
  <c r="CM1" s="1"/>
  <c r="CX1" i="5"/>
  <c r="CX305"/>
  <c r="CU304"/>
  <c r="CU305"/>
  <c r="CX307"/>
  <c r="CU1"/>
  <c r="CU307"/>
  <c r="CX304"/>
  <c r="CJ90" i="4"/>
  <c r="CJ1" s="1"/>
  <c r="CX309" i="5" l="1"/>
  <c r="CU309"/>
  <c r="CP20" i="4" l="1"/>
  <c r="DA301" i="5"/>
  <c r="DA291"/>
  <c r="DA286"/>
  <c r="DA279"/>
  <c r="DA275"/>
  <c r="DA271"/>
  <c r="DA270"/>
  <c r="DA269"/>
  <c r="DA237"/>
  <c r="DA207"/>
  <c r="DA202"/>
  <c r="DA201"/>
  <c r="DA200"/>
  <c r="DA178"/>
  <c r="DA176"/>
  <c r="DA174"/>
  <c r="DA167"/>
  <c r="DA166"/>
  <c r="DA165"/>
  <c r="DA142"/>
  <c r="DA141"/>
  <c r="DA132"/>
  <c r="DA131"/>
  <c r="DA125"/>
  <c r="DA124"/>
  <c r="DA121"/>
  <c r="DA120"/>
  <c r="DA113"/>
  <c r="DA112"/>
  <c r="DA103"/>
  <c r="DA102"/>
  <c r="DA98"/>
  <c r="DA97"/>
  <c r="DA84"/>
  <c r="DA83"/>
  <c r="DA74"/>
  <c r="DA71"/>
  <c r="DA70"/>
  <c r="DA59"/>
  <c r="DA58"/>
  <c r="DA46"/>
  <c r="DA38"/>
  <c r="DA33"/>
  <c r="DA28"/>
  <c r="DA22"/>
  <c r="DA21"/>
  <c r="DA20"/>
  <c r="DA8"/>
  <c r="E6" i="14"/>
  <c r="CP66" i="4"/>
  <c r="E7" i="14" s="1"/>
  <c r="CP30" i="4"/>
  <c r="E8" i="14" s="1"/>
  <c r="CR92" i="4"/>
  <c r="F6" i="14"/>
  <c r="CR66" i="4"/>
  <c r="CR30"/>
  <c r="CR20"/>
  <c r="DC301" i="5"/>
  <c r="DC291"/>
  <c r="DC286"/>
  <c r="DC279"/>
  <c r="DC275"/>
  <c r="DC271"/>
  <c r="DC270"/>
  <c r="DC269"/>
  <c r="DC207"/>
  <c r="DC202"/>
  <c r="DC201"/>
  <c r="DC200"/>
  <c r="DC178"/>
  <c r="DC176"/>
  <c r="DC174"/>
  <c r="DC167"/>
  <c r="DC166"/>
  <c r="DC165"/>
  <c r="DC142"/>
  <c r="DC141"/>
  <c r="DC132"/>
  <c r="DC131"/>
  <c r="DC125"/>
  <c r="DC124"/>
  <c r="DC121"/>
  <c r="DC120"/>
  <c r="DC113"/>
  <c r="DC112"/>
  <c r="DC111"/>
  <c r="DC103"/>
  <c r="DC102"/>
  <c r="DC98"/>
  <c r="DC97"/>
  <c r="DC84"/>
  <c r="DC74"/>
  <c r="DC71"/>
  <c r="DC70"/>
  <c r="DC59"/>
  <c r="DC58"/>
  <c r="DC46"/>
  <c r="DC38"/>
  <c r="DC28"/>
  <c r="DC22"/>
  <c r="DC21"/>
  <c r="DC20"/>
  <c r="DC8"/>
  <c r="F11" i="15"/>
  <c r="F13" s="1"/>
  <c r="E16"/>
  <c r="E13"/>
  <c r="E17" s="1"/>
  <c r="F10"/>
  <c r="F17" s="1"/>
  <c r="E10"/>
  <c r="DC307" i="5" l="1"/>
  <c r="DA1"/>
  <c r="F8" i="14"/>
  <c r="CS30" i="4"/>
  <c r="F5" i="14"/>
  <c r="CS20" i="4"/>
  <c r="F7" i="14"/>
  <c r="CS66" i="4"/>
  <c r="DC1" i="5"/>
  <c r="DA305"/>
  <c r="DA304"/>
  <c r="E12" i="14" s="1"/>
  <c r="C11" i="15" s="1"/>
  <c r="DA307" i="5"/>
  <c r="E13" i="14" s="1"/>
  <c r="C12" i="15" s="1"/>
  <c r="CR90" i="4"/>
  <c r="CP90"/>
  <c r="E5" i="14"/>
  <c r="CP92" i="4"/>
  <c r="CS92" s="1"/>
  <c r="DC305" i="5"/>
  <c r="DC304"/>
  <c r="F12" i="14" s="1"/>
  <c r="D11" i="15" s="1"/>
  <c r="F16"/>
  <c r="C13" l="1"/>
  <c r="C17" s="1"/>
  <c r="CR1" i="4"/>
  <c r="CS90"/>
  <c r="DA309" i="5"/>
  <c r="DC309"/>
  <c r="F13" i="14"/>
  <c r="D12" i="15" s="1"/>
  <c r="D13" s="1"/>
  <c r="D17" s="1"/>
  <c r="CG92" i="4"/>
  <c r="CG88"/>
  <c r="CG66"/>
  <c r="CG30"/>
  <c r="CG20"/>
  <c r="CR167" i="5"/>
  <c r="CS162"/>
  <c r="CV162" s="1"/>
  <c r="CY162" s="1"/>
  <c r="CR301"/>
  <c r="CR291"/>
  <c r="CR286"/>
  <c r="CR279"/>
  <c r="CR275"/>
  <c r="CS271"/>
  <c r="CR271"/>
  <c r="CR270"/>
  <c r="CR269"/>
  <c r="CR237"/>
  <c r="CR207"/>
  <c r="CR202"/>
  <c r="CR201"/>
  <c r="CR200"/>
  <c r="CS178"/>
  <c r="CR178"/>
  <c r="CR176"/>
  <c r="CR174"/>
  <c r="CR166"/>
  <c r="CR165"/>
  <c r="CS142"/>
  <c r="CR142"/>
  <c r="CR141"/>
  <c r="CS132"/>
  <c r="CR132"/>
  <c r="CR131"/>
  <c r="CR125"/>
  <c r="CR124"/>
  <c r="CR121"/>
  <c r="CR120"/>
  <c r="CR113"/>
  <c r="CR112"/>
  <c r="CR111"/>
  <c r="CR103"/>
  <c r="CR102"/>
  <c r="CR98"/>
  <c r="CR97"/>
  <c r="CR84"/>
  <c r="CR83"/>
  <c r="CR74"/>
  <c r="CR71"/>
  <c r="CR70"/>
  <c r="CR59"/>
  <c r="CR58"/>
  <c r="CR46"/>
  <c r="CR38"/>
  <c r="CR33"/>
  <c r="CR28"/>
  <c r="CR22"/>
  <c r="CR21"/>
  <c r="CR20"/>
  <c r="CR8"/>
  <c r="CD92" i="4"/>
  <c r="CD88"/>
  <c r="CD66"/>
  <c r="CD30"/>
  <c r="CD20"/>
  <c r="CO237" i="5"/>
  <c r="CP223"/>
  <c r="CS223" s="1"/>
  <c r="CV223" s="1"/>
  <c r="CP181"/>
  <c r="CS181" s="1"/>
  <c r="CV181" s="1"/>
  <c r="CY181" s="1"/>
  <c r="CO59"/>
  <c r="CO58"/>
  <c r="CP55"/>
  <c r="CP59" s="1"/>
  <c r="CO301"/>
  <c r="CO291"/>
  <c r="CO286"/>
  <c r="CO279"/>
  <c r="CO275"/>
  <c r="CP271"/>
  <c r="CO271"/>
  <c r="CO270"/>
  <c r="CO269"/>
  <c r="CO207"/>
  <c r="CO202"/>
  <c r="CO201"/>
  <c r="CO200"/>
  <c r="CP178"/>
  <c r="CO178"/>
  <c r="CO176"/>
  <c r="CO174"/>
  <c r="CO167"/>
  <c r="CO166"/>
  <c r="CO165"/>
  <c r="CP142"/>
  <c r="CO142"/>
  <c r="CO141"/>
  <c r="CP132"/>
  <c r="CO132"/>
  <c r="CO131"/>
  <c r="CO125"/>
  <c r="CO124"/>
  <c r="CO121"/>
  <c r="CO120"/>
  <c r="CO113"/>
  <c r="CO112"/>
  <c r="CO111"/>
  <c r="CO103"/>
  <c r="CO102"/>
  <c r="CO98"/>
  <c r="CO97"/>
  <c r="CO84"/>
  <c r="CO83"/>
  <c r="CO74"/>
  <c r="CO71"/>
  <c r="CO70"/>
  <c r="CO46"/>
  <c r="CO38"/>
  <c r="CO33"/>
  <c r="CO28"/>
  <c r="CO22"/>
  <c r="CO21"/>
  <c r="CO20"/>
  <c r="CO8"/>
  <c r="CM106"/>
  <c r="CP106" s="1"/>
  <c r="CS106" s="1"/>
  <c r="CV106" s="1"/>
  <c r="CY106" s="1"/>
  <c r="CM14"/>
  <c r="CP14" s="1"/>
  <c r="CS14" s="1"/>
  <c r="CV14" s="1"/>
  <c r="CY14" s="1"/>
  <c r="CL301"/>
  <c r="CL291"/>
  <c r="CL286"/>
  <c r="CL279"/>
  <c r="CL275"/>
  <c r="CM271"/>
  <c r="CL271"/>
  <c r="CL270"/>
  <c r="CL269"/>
  <c r="CL237"/>
  <c r="CL207"/>
  <c r="CL202"/>
  <c r="CL201"/>
  <c r="CL200"/>
  <c r="CM178"/>
  <c r="CL178"/>
  <c r="CL176"/>
  <c r="CL174"/>
  <c r="CL167"/>
  <c r="CL166"/>
  <c r="CL165"/>
  <c r="CM142"/>
  <c r="CL142"/>
  <c r="CL141"/>
  <c r="CM132"/>
  <c r="CL132"/>
  <c r="CL131"/>
  <c r="CL125"/>
  <c r="CL124"/>
  <c r="CL121"/>
  <c r="CL120"/>
  <c r="CL113"/>
  <c r="CL112"/>
  <c r="CL111"/>
  <c r="CL103"/>
  <c r="CL102"/>
  <c r="CL98"/>
  <c r="CL97"/>
  <c r="CL84"/>
  <c r="CL83"/>
  <c r="CL74"/>
  <c r="CL71"/>
  <c r="CL70"/>
  <c r="CL58"/>
  <c r="CL46"/>
  <c r="CL38"/>
  <c r="CL33"/>
  <c r="CL28"/>
  <c r="CL22"/>
  <c r="CL21"/>
  <c r="CL20"/>
  <c r="CL8"/>
  <c r="CI301"/>
  <c r="CI291"/>
  <c r="CI286"/>
  <c r="CI279"/>
  <c r="CI275"/>
  <c r="CJ271"/>
  <c r="CI271"/>
  <c r="CI270"/>
  <c r="CI269"/>
  <c r="CI237"/>
  <c r="CI207"/>
  <c r="CI202"/>
  <c r="CI201"/>
  <c r="CI200"/>
  <c r="CJ178"/>
  <c r="CI178"/>
  <c r="CI176"/>
  <c r="CI174"/>
  <c r="CI167"/>
  <c r="CI166"/>
  <c r="CI165"/>
  <c r="CJ142"/>
  <c r="CI142"/>
  <c r="CI141"/>
  <c r="CJ132"/>
  <c r="CI132"/>
  <c r="CI131"/>
  <c r="CI125"/>
  <c r="CI124"/>
  <c r="CI121"/>
  <c r="CI120"/>
  <c r="CI113"/>
  <c r="CI112"/>
  <c r="CI111"/>
  <c r="CI103"/>
  <c r="CI102"/>
  <c r="CI98"/>
  <c r="CI97"/>
  <c r="CI84"/>
  <c r="CI83"/>
  <c r="CI74"/>
  <c r="CI71"/>
  <c r="CI70"/>
  <c r="CI58"/>
  <c r="CI46"/>
  <c r="CI38"/>
  <c r="CI33"/>
  <c r="CI28"/>
  <c r="CI22"/>
  <c r="CI21"/>
  <c r="CI20"/>
  <c r="CI8"/>
  <c r="CA92" i="4"/>
  <c r="CA88"/>
  <c r="CA66"/>
  <c r="CA30"/>
  <c r="CA20"/>
  <c r="CF301" i="5"/>
  <c r="CG294"/>
  <c r="CJ294" s="1"/>
  <c r="CM294" s="1"/>
  <c r="CP294" s="1"/>
  <c r="CS294" s="1"/>
  <c r="CV294" s="1"/>
  <c r="CY294" s="1"/>
  <c r="CG161"/>
  <c r="CJ161" s="1"/>
  <c r="CM161" s="1"/>
  <c r="CP161" s="1"/>
  <c r="CS161" s="1"/>
  <c r="CV161" s="1"/>
  <c r="CY161" s="1"/>
  <c r="CF167"/>
  <c r="CG152"/>
  <c r="CJ152" s="1"/>
  <c r="CM152" s="1"/>
  <c r="CP152" s="1"/>
  <c r="CS152" s="1"/>
  <c r="CV152" s="1"/>
  <c r="CY152" s="1"/>
  <c r="CF291"/>
  <c r="CF286"/>
  <c r="CF279"/>
  <c r="CF275"/>
  <c r="CG271"/>
  <c r="CF271"/>
  <c r="CF270"/>
  <c r="CF269"/>
  <c r="CF237"/>
  <c r="CF207"/>
  <c r="CF202"/>
  <c r="CF201"/>
  <c r="CF200"/>
  <c r="CG178"/>
  <c r="CF178"/>
  <c r="CF176"/>
  <c r="CF174"/>
  <c r="CF166"/>
  <c r="CF165"/>
  <c r="CG142"/>
  <c r="CF142"/>
  <c r="CF141"/>
  <c r="CG132"/>
  <c r="CF132"/>
  <c r="CF131"/>
  <c r="CF125"/>
  <c r="CF124"/>
  <c r="CF121"/>
  <c r="CF120"/>
  <c r="CF113"/>
  <c r="CF112"/>
  <c r="CF111"/>
  <c r="CF103"/>
  <c r="CF102"/>
  <c r="CF98"/>
  <c r="CF97"/>
  <c r="CF84"/>
  <c r="CF83"/>
  <c r="CF74"/>
  <c r="CF71"/>
  <c r="CF70"/>
  <c r="CF58"/>
  <c r="CF46"/>
  <c r="CF38"/>
  <c r="CF33"/>
  <c r="CF28"/>
  <c r="CF22"/>
  <c r="CF21"/>
  <c r="CF20"/>
  <c r="CF8"/>
  <c r="BY28" i="4"/>
  <c r="CB28" s="1"/>
  <c r="CE28" s="1"/>
  <c r="CH28" s="1"/>
  <c r="CK28" s="1"/>
  <c r="CN28" s="1"/>
  <c r="BX92"/>
  <c r="BX88"/>
  <c r="BX66"/>
  <c r="BX30"/>
  <c r="BX20"/>
  <c r="CC301" i="5"/>
  <c r="CC291"/>
  <c r="CC286"/>
  <c r="CC279"/>
  <c r="CC275"/>
  <c r="CD271"/>
  <c r="CC271"/>
  <c r="CC270"/>
  <c r="CC269"/>
  <c r="CC237"/>
  <c r="CC207"/>
  <c r="CC202"/>
  <c r="CC201"/>
  <c r="CC200"/>
  <c r="CD178"/>
  <c r="CC178"/>
  <c r="CC176"/>
  <c r="CC174"/>
  <c r="CC167"/>
  <c r="CC166"/>
  <c r="CC165"/>
  <c r="CD142"/>
  <c r="CC142"/>
  <c r="CC141"/>
  <c r="CD132"/>
  <c r="CC132"/>
  <c r="CC131"/>
  <c r="CC125"/>
  <c r="CC124"/>
  <c r="CC121"/>
  <c r="CC120"/>
  <c r="CC113"/>
  <c r="CC112"/>
  <c r="CC111"/>
  <c r="CC103"/>
  <c r="CC102"/>
  <c r="CC98"/>
  <c r="CC97"/>
  <c r="CC84"/>
  <c r="CC83"/>
  <c r="CC74"/>
  <c r="CC71"/>
  <c r="CC70"/>
  <c r="CC58"/>
  <c r="CC46"/>
  <c r="CC38"/>
  <c r="CC33"/>
  <c r="CC28"/>
  <c r="CC22"/>
  <c r="CC21"/>
  <c r="CC20"/>
  <c r="CC8"/>
  <c r="BU20" i="4"/>
  <c r="BU92"/>
  <c r="BU88"/>
  <c r="BU66"/>
  <c r="BU30"/>
  <c r="CA79" i="5"/>
  <c r="CD79" s="1"/>
  <c r="CG79" s="1"/>
  <c r="CJ79" s="1"/>
  <c r="CM79" s="1"/>
  <c r="CP79" s="1"/>
  <c r="CS79" s="1"/>
  <c r="CV79" s="1"/>
  <c r="CY79" s="1"/>
  <c r="BZ76"/>
  <c r="BZ83" s="1"/>
  <c r="BZ301"/>
  <c r="BZ291"/>
  <c r="BZ286"/>
  <c r="BZ279"/>
  <c r="BZ275"/>
  <c r="CA271"/>
  <c r="BZ271"/>
  <c r="BZ270"/>
  <c r="BZ269"/>
  <c r="BZ237"/>
  <c r="BZ207"/>
  <c r="BZ202"/>
  <c r="BZ201"/>
  <c r="BZ200"/>
  <c r="CA178"/>
  <c r="BZ178"/>
  <c r="BZ176"/>
  <c r="BZ174"/>
  <c r="BZ167"/>
  <c r="BZ166"/>
  <c r="BZ165"/>
  <c r="CA142"/>
  <c r="BZ142"/>
  <c r="BZ141"/>
  <c r="CA132"/>
  <c r="BZ132"/>
  <c r="BZ131"/>
  <c r="BZ125"/>
  <c r="BZ124"/>
  <c r="BZ121"/>
  <c r="BZ120"/>
  <c r="BZ113"/>
  <c r="BZ112"/>
  <c r="BZ111"/>
  <c r="BZ103"/>
  <c r="BZ102"/>
  <c r="BZ98"/>
  <c r="BZ97"/>
  <c r="BZ84"/>
  <c r="BZ74"/>
  <c r="BZ71"/>
  <c r="BZ70"/>
  <c r="BZ58"/>
  <c r="BZ46"/>
  <c r="BZ38"/>
  <c r="BZ33"/>
  <c r="BZ28"/>
  <c r="BZ22"/>
  <c r="BZ21"/>
  <c r="BZ20"/>
  <c r="BZ8"/>
  <c r="BW301"/>
  <c r="BW291"/>
  <c r="BW286"/>
  <c r="BW279"/>
  <c r="BW275"/>
  <c r="BX271"/>
  <c r="BW271"/>
  <c r="BW270"/>
  <c r="BW269"/>
  <c r="BW237"/>
  <c r="BW207"/>
  <c r="BW202"/>
  <c r="BW201"/>
  <c r="BW200"/>
  <c r="BX178"/>
  <c r="BW178"/>
  <c r="BW176"/>
  <c r="BW174"/>
  <c r="BW167"/>
  <c r="BW166"/>
  <c r="BW165"/>
  <c r="BX142"/>
  <c r="BW142"/>
  <c r="BW141"/>
  <c r="BX132"/>
  <c r="BW132"/>
  <c r="BW131"/>
  <c r="BW125"/>
  <c r="BW124"/>
  <c r="BW121"/>
  <c r="BW120"/>
  <c r="BW113"/>
  <c r="BW112"/>
  <c r="BW111"/>
  <c r="BW103"/>
  <c r="BW102"/>
  <c r="BW98"/>
  <c r="BW97"/>
  <c r="BW84"/>
  <c r="BW83"/>
  <c r="BW74"/>
  <c r="BW71"/>
  <c r="BW70"/>
  <c r="BW58"/>
  <c r="BW46"/>
  <c r="BW38"/>
  <c r="BW33"/>
  <c r="BW28"/>
  <c r="BW22"/>
  <c r="BW21"/>
  <c r="BW20"/>
  <c r="BW8"/>
  <c r="CA90" i="4" l="1"/>
  <c r="CG90"/>
  <c r="CG1" s="1"/>
  <c r="CY223" i="5"/>
  <c r="CS55"/>
  <c r="CO307"/>
  <c r="CR305"/>
  <c r="CR1"/>
  <c r="CR304"/>
  <c r="CR307"/>
  <c r="CD90" i="4"/>
  <c r="CD1" s="1"/>
  <c r="CO1" i="5"/>
  <c r="CO305"/>
  <c r="CO304"/>
  <c r="CL1"/>
  <c r="CL305"/>
  <c r="CL307"/>
  <c r="CL304"/>
  <c r="CI307"/>
  <c r="CI304"/>
  <c r="CI305"/>
  <c r="CI1"/>
  <c r="BZ305"/>
  <c r="CF305"/>
  <c r="CF304"/>
  <c r="CC307"/>
  <c r="CF307"/>
  <c r="CF1"/>
  <c r="BX90" i="4"/>
  <c r="CC1" i="5"/>
  <c r="CC304"/>
  <c r="CC305"/>
  <c r="BU90" i="4"/>
  <c r="BZ307" i="5"/>
  <c r="BZ304"/>
  <c r="BZ1"/>
  <c r="BW307"/>
  <c r="BW305"/>
  <c r="BW304"/>
  <c r="BW1"/>
  <c r="BR88" i="4"/>
  <c r="BR92"/>
  <c r="BS63"/>
  <c r="BV63" s="1"/>
  <c r="BY63" s="1"/>
  <c r="CB63" s="1"/>
  <c r="CE63" s="1"/>
  <c r="CH63" s="1"/>
  <c r="CK63" s="1"/>
  <c r="CN63" s="1"/>
  <c r="BR66"/>
  <c r="BS82"/>
  <c r="BV82" s="1"/>
  <c r="BY82" s="1"/>
  <c r="CB82" s="1"/>
  <c r="BS78"/>
  <c r="BV78" s="1"/>
  <c r="BY78" s="1"/>
  <c r="CB78" s="1"/>
  <c r="CE78" s="1"/>
  <c r="CH78" s="1"/>
  <c r="CK78" s="1"/>
  <c r="CN78" s="1"/>
  <c r="BS77"/>
  <c r="BV77" s="1"/>
  <c r="BY77" s="1"/>
  <c r="CB77" s="1"/>
  <c r="CE77" s="1"/>
  <c r="CH77" s="1"/>
  <c r="CK77" s="1"/>
  <c r="CN77" s="1"/>
  <c r="BS73"/>
  <c r="BV73" s="1"/>
  <c r="BY73" s="1"/>
  <c r="CB73" s="1"/>
  <c r="CE73" s="1"/>
  <c r="CH73" s="1"/>
  <c r="CK73" s="1"/>
  <c r="CN73" s="1"/>
  <c r="BS72"/>
  <c r="BV72" s="1"/>
  <c r="BY72" s="1"/>
  <c r="CB72" s="1"/>
  <c r="CE72" s="1"/>
  <c r="CH72" s="1"/>
  <c r="CK72" s="1"/>
  <c r="CN72" s="1"/>
  <c r="BS64"/>
  <c r="BV64" s="1"/>
  <c r="BY64" s="1"/>
  <c r="CB64" s="1"/>
  <c r="BS62"/>
  <c r="BV62" s="1"/>
  <c r="BY62" s="1"/>
  <c r="CB62" s="1"/>
  <c r="CE62" s="1"/>
  <c r="CH62" s="1"/>
  <c r="CK62" s="1"/>
  <c r="CN62" s="1"/>
  <c r="BS61"/>
  <c r="BV61" s="1"/>
  <c r="BY61" s="1"/>
  <c r="BS60"/>
  <c r="BV60" s="1"/>
  <c r="BY60" s="1"/>
  <c r="CB60" s="1"/>
  <c r="CE60" s="1"/>
  <c r="CH60" s="1"/>
  <c r="CK60" s="1"/>
  <c r="CN60" s="1"/>
  <c r="BS59"/>
  <c r="BV59" s="1"/>
  <c r="BY59" s="1"/>
  <c r="CB59" s="1"/>
  <c r="CE59" s="1"/>
  <c r="CH59" s="1"/>
  <c r="CK59" s="1"/>
  <c r="CN59" s="1"/>
  <c r="BS58"/>
  <c r="BV58" s="1"/>
  <c r="BY58" s="1"/>
  <c r="CB58" s="1"/>
  <c r="CE58" s="1"/>
  <c r="CH58" s="1"/>
  <c r="CK58" s="1"/>
  <c r="CN58" s="1"/>
  <c r="BS57"/>
  <c r="BV57" s="1"/>
  <c r="BY57" s="1"/>
  <c r="CB57" s="1"/>
  <c r="CE57" s="1"/>
  <c r="CH57" s="1"/>
  <c r="CK57" s="1"/>
  <c r="CN57" s="1"/>
  <c r="BS50"/>
  <c r="BV50" s="1"/>
  <c r="BY50" s="1"/>
  <c r="CB50" s="1"/>
  <c r="CE50" s="1"/>
  <c r="CH50" s="1"/>
  <c r="CK50" s="1"/>
  <c r="CN50" s="1"/>
  <c r="BS45"/>
  <c r="BV45" s="1"/>
  <c r="BY45" s="1"/>
  <c r="CB45" s="1"/>
  <c r="CE45" s="1"/>
  <c r="CH45" s="1"/>
  <c r="CK45" s="1"/>
  <c r="CN45" s="1"/>
  <c r="BS41"/>
  <c r="BV41" s="1"/>
  <c r="BY41" s="1"/>
  <c r="CB41" s="1"/>
  <c r="CE41" s="1"/>
  <c r="CH41" s="1"/>
  <c r="CK41" s="1"/>
  <c r="CN41" s="1"/>
  <c r="BS40"/>
  <c r="BV40" s="1"/>
  <c r="BY40" s="1"/>
  <c r="BS36"/>
  <c r="BV36" s="1"/>
  <c r="BY36" s="1"/>
  <c r="CB36" s="1"/>
  <c r="CE36" s="1"/>
  <c r="CH36" s="1"/>
  <c r="CK36" s="1"/>
  <c r="CN36" s="1"/>
  <c r="BS32"/>
  <c r="BV32" s="1"/>
  <c r="BY32" s="1"/>
  <c r="CB32" s="1"/>
  <c r="CE32" s="1"/>
  <c r="CH32" s="1"/>
  <c r="CK32" s="1"/>
  <c r="CN32" s="1"/>
  <c r="BR30"/>
  <c r="BS27"/>
  <c r="BV27" s="1"/>
  <c r="BY27" s="1"/>
  <c r="CB27" s="1"/>
  <c r="CE27" s="1"/>
  <c r="CH27" s="1"/>
  <c r="CK27" s="1"/>
  <c r="CN27" s="1"/>
  <c r="BS26"/>
  <c r="BV26" s="1"/>
  <c r="BY26" s="1"/>
  <c r="CB26" s="1"/>
  <c r="CE26" s="1"/>
  <c r="CH26" s="1"/>
  <c r="CK26" s="1"/>
  <c r="CN26" s="1"/>
  <c r="BS25"/>
  <c r="BV25" s="1"/>
  <c r="BY25" s="1"/>
  <c r="CB25" s="1"/>
  <c r="CE25" s="1"/>
  <c r="CH25" s="1"/>
  <c r="CK25" s="1"/>
  <c r="CN25" s="1"/>
  <c r="BS24"/>
  <c r="BV24" s="1"/>
  <c r="BY24" s="1"/>
  <c r="CB24" s="1"/>
  <c r="CE24" s="1"/>
  <c r="CH24" s="1"/>
  <c r="CK24" s="1"/>
  <c r="CN24" s="1"/>
  <c r="BS22"/>
  <c r="BR20"/>
  <c r="BS6"/>
  <c r="BV6" s="1"/>
  <c r="BY6" s="1"/>
  <c r="CB6" s="1"/>
  <c r="CE6" s="1"/>
  <c r="CH6" s="1"/>
  <c r="CK6" s="1"/>
  <c r="CN6" s="1"/>
  <c r="BS7"/>
  <c r="BV7" s="1"/>
  <c r="BY7" s="1"/>
  <c r="CB7" s="1"/>
  <c r="CE7" s="1"/>
  <c r="CH7" s="1"/>
  <c r="CK7" s="1"/>
  <c r="CN7" s="1"/>
  <c r="BS8"/>
  <c r="BV8" s="1"/>
  <c r="BY8" s="1"/>
  <c r="CB8" s="1"/>
  <c r="CE8" s="1"/>
  <c r="CH8" s="1"/>
  <c r="CK8" s="1"/>
  <c r="CN8" s="1"/>
  <c r="BS9"/>
  <c r="BV9" s="1"/>
  <c r="BY9" s="1"/>
  <c r="CB9" s="1"/>
  <c r="CE9" s="1"/>
  <c r="CH9" s="1"/>
  <c r="CK9" s="1"/>
  <c r="CN9" s="1"/>
  <c r="BS10"/>
  <c r="BV10" s="1"/>
  <c r="BY10" s="1"/>
  <c r="CB10" s="1"/>
  <c r="CE10" s="1"/>
  <c r="CH10" s="1"/>
  <c r="CK10" s="1"/>
  <c r="CN10" s="1"/>
  <c r="BS11"/>
  <c r="BS14"/>
  <c r="BV14" s="1"/>
  <c r="BY14" s="1"/>
  <c r="CB14" s="1"/>
  <c r="CE14" s="1"/>
  <c r="CH14" s="1"/>
  <c r="CK14" s="1"/>
  <c r="CN14" s="1"/>
  <c r="BS12"/>
  <c r="BV12" s="1"/>
  <c r="BY12" s="1"/>
  <c r="CB12" s="1"/>
  <c r="CE12" s="1"/>
  <c r="CH12" s="1"/>
  <c r="CK12" s="1"/>
  <c r="CN12" s="1"/>
  <c r="BS13"/>
  <c r="BV13" s="1"/>
  <c r="BY13" s="1"/>
  <c r="CB13" s="1"/>
  <c r="CE13" s="1"/>
  <c r="CH13" s="1"/>
  <c r="CK13" s="1"/>
  <c r="CN13" s="1"/>
  <c r="BS15"/>
  <c r="BV15" s="1"/>
  <c r="BY15" s="1"/>
  <c r="CB15" s="1"/>
  <c r="CE15" s="1"/>
  <c r="CH15" s="1"/>
  <c r="CK15" s="1"/>
  <c r="CN15" s="1"/>
  <c r="BS16"/>
  <c r="BV16" s="1"/>
  <c r="BY16" s="1"/>
  <c r="CB16" s="1"/>
  <c r="CE16" s="1"/>
  <c r="CH16" s="1"/>
  <c r="CK16" s="1"/>
  <c r="CN16" s="1"/>
  <c r="BS18"/>
  <c r="BV18" s="1"/>
  <c r="BY18" s="1"/>
  <c r="CB18" s="1"/>
  <c r="CE18" s="1"/>
  <c r="CH18" s="1"/>
  <c r="CK18" s="1"/>
  <c r="CN18" s="1"/>
  <c r="BS19"/>
  <c r="BV19" s="1"/>
  <c r="BY19" s="1"/>
  <c r="CB19" s="1"/>
  <c r="CE19" s="1"/>
  <c r="CH19" s="1"/>
  <c r="CK19" s="1"/>
  <c r="CN19" s="1"/>
  <c r="BS5"/>
  <c r="BV5" s="1"/>
  <c r="BY5" s="1"/>
  <c r="CB5" s="1"/>
  <c r="CE5" s="1"/>
  <c r="CH5" s="1"/>
  <c r="CK5" s="1"/>
  <c r="BT301" i="5"/>
  <c r="BT291"/>
  <c r="BT286"/>
  <c r="BT279"/>
  <c r="BT275"/>
  <c r="BU271"/>
  <c r="BT271"/>
  <c r="BT270"/>
  <c r="BT269"/>
  <c r="BT237"/>
  <c r="BT207"/>
  <c r="BT202"/>
  <c r="BT201"/>
  <c r="BT200"/>
  <c r="BU178"/>
  <c r="BT178"/>
  <c r="BT176"/>
  <c r="BT174"/>
  <c r="BT167"/>
  <c r="BT166"/>
  <c r="BT165"/>
  <c r="BU142"/>
  <c r="BT142"/>
  <c r="BT141"/>
  <c r="BU132"/>
  <c r="BT132"/>
  <c r="BT131"/>
  <c r="BT125"/>
  <c r="BT124"/>
  <c r="BT121"/>
  <c r="BT120"/>
  <c r="BT113"/>
  <c r="BT112"/>
  <c r="BT111"/>
  <c r="BT103"/>
  <c r="BT102"/>
  <c r="BT98"/>
  <c r="BT97"/>
  <c r="BT84"/>
  <c r="BT83"/>
  <c r="BT74"/>
  <c r="BT71"/>
  <c r="BT70"/>
  <c r="BT58"/>
  <c r="BT46"/>
  <c r="BT38"/>
  <c r="BT33"/>
  <c r="BT28"/>
  <c r="BT22"/>
  <c r="BT21"/>
  <c r="BT20"/>
  <c r="BT8"/>
  <c r="BQ301"/>
  <c r="BR295"/>
  <c r="BU295" s="1"/>
  <c r="BX295" s="1"/>
  <c r="CA295" s="1"/>
  <c r="CD295" s="1"/>
  <c r="CG295" s="1"/>
  <c r="CJ295" s="1"/>
  <c r="CM295" s="1"/>
  <c r="CP295" s="1"/>
  <c r="CS295" s="1"/>
  <c r="CV295" s="1"/>
  <c r="CY295" s="1"/>
  <c r="BR298"/>
  <c r="BU298" s="1"/>
  <c r="BX298" s="1"/>
  <c r="CA298" s="1"/>
  <c r="CD298" s="1"/>
  <c r="CG298" s="1"/>
  <c r="CJ298" s="1"/>
  <c r="CM298" s="1"/>
  <c r="CP298" s="1"/>
  <c r="CS298" s="1"/>
  <c r="CV298" s="1"/>
  <c r="CY298" s="1"/>
  <c r="BR297"/>
  <c r="BU297" s="1"/>
  <c r="BX297" s="1"/>
  <c r="CA297" s="1"/>
  <c r="CD297" s="1"/>
  <c r="CG297" s="1"/>
  <c r="CJ297" s="1"/>
  <c r="CM297" s="1"/>
  <c r="CP297" s="1"/>
  <c r="CS297" s="1"/>
  <c r="CV297" s="1"/>
  <c r="CY297" s="1"/>
  <c r="BR296"/>
  <c r="BU296" s="1"/>
  <c r="BX296" s="1"/>
  <c r="CA296" s="1"/>
  <c r="CD296" s="1"/>
  <c r="CG296" s="1"/>
  <c r="CJ296" s="1"/>
  <c r="CM296" s="1"/>
  <c r="CP296" s="1"/>
  <c r="CS296" s="1"/>
  <c r="CV296" s="1"/>
  <c r="CY296" s="1"/>
  <c r="BR292"/>
  <c r="BU292" s="1"/>
  <c r="BX292" s="1"/>
  <c r="CA292" s="1"/>
  <c r="BR287"/>
  <c r="BR291" s="1"/>
  <c r="BR280"/>
  <c r="BU280" s="1"/>
  <c r="BR276"/>
  <c r="BU276" s="1"/>
  <c r="BR272"/>
  <c r="BU272" s="1"/>
  <c r="BR267"/>
  <c r="BU267" s="1"/>
  <c r="BX267" s="1"/>
  <c r="CA267" s="1"/>
  <c r="CD267" s="1"/>
  <c r="CG267" s="1"/>
  <c r="CJ267" s="1"/>
  <c r="CM267" s="1"/>
  <c r="CP267" s="1"/>
  <c r="CS267" s="1"/>
  <c r="CV267" s="1"/>
  <c r="CY267" s="1"/>
  <c r="BR266"/>
  <c r="BU266" s="1"/>
  <c r="BX266" s="1"/>
  <c r="CA266" s="1"/>
  <c r="CD266" s="1"/>
  <c r="CG266" s="1"/>
  <c r="CJ266" s="1"/>
  <c r="CM266" s="1"/>
  <c r="CP266" s="1"/>
  <c r="CS266" s="1"/>
  <c r="CV266" s="1"/>
  <c r="CY266" s="1"/>
  <c r="BR257"/>
  <c r="BU257" s="1"/>
  <c r="BX257" s="1"/>
  <c r="CA257" s="1"/>
  <c r="CD257" s="1"/>
  <c r="CG257" s="1"/>
  <c r="CJ257" s="1"/>
  <c r="CM257" s="1"/>
  <c r="CP257" s="1"/>
  <c r="CS257" s="1"/>
  <c r="CV257" s="1"/>
  <c r="CY257" s="1"/>
  <c r="BR258"/>
  <c r="BU258" s="1"/>
  <c r="BR259"/>
  <c r="BU259" s="1"/>
  <c r="BX259" s="1"/>
  <c r="CA259" s="1"/>
  <c r="CD259" s="1"/>
  <c r="CG259" s="1"/>
  <c r="CJ259" s="1"/>
  <c r="CM259" s="1"/>
  <c r="CP259" s="1"/>
  <c r="CS259" s="1"/>
  <c r="CV259" s="1"/>
  <c r="CY259" s="1"/>
  <c r="BR260"/>
  <c r="BU260" s="1"/>
  <c r="BX260" s="1"/>
  <c r="CA260" s="1"/>
  <c r="CD260" s="1"/>
  <c r="CG260" s="1"/>
  <c r="CJ260" s="1"/>
  <c r="CM260" s="1"/>
  <c r="CP260" s="1"/>
  <c r="CS260" s="1"/>
  <c r="CV260" s="1"/>
  <c r="CY260" s="1"/>
  <c r="BR261"/>
  <c r="BU261" s="1"/>
  <c r="BX261" s="1"/>
  <c r="CA261" s="1"/>
  <c r="CD261" s="1"/>
  <c r="CG261" s="1"/>
  <c r="CJ261" s="1"/>
  <c r="CM261" s="1"/>
  <c r="CP261" s="1"/>
  <c r="CS261" s="1"/>
  <c r="CV261" s="1"/>
  <c r="CY261" s="1"/>
  <c r="BR262"/>
  <c r="BU262" s="1"/>
  <c r="BX262" s="1"/>
  <c r="CA262" s="1"/>
  <c r="CD262" s="1"/>
  <c r="CG262" s="1"/>
  <c r="CJ262" s="1"/>
  <c r="CM262" s="1"/>
  <c r="CP262" s="1"/>
  <c r="CS262" s="1"/>
  <c r="CV262" s="1"/>
  <c r="CY262" s="1"/>
  <c r="BR263"/>
  <c r="BU263" s="1"/>
  <c r="BX263" s="1"/>
  <c r="CA263" s="1"/>
  <c r="CD263" s="1"/>
  <c r="CG263" s="1"/>
  <c r="CJ263" s="1"/>
  <c r="CM263" s="1"/>
  <c r="CP263" s="1"/>
  <c r="CS263" s="1"/>
  <c r="CV263" s="1"/>
  <c r="CY263" s="1"/>
  <c r="BR264"/>
  <c r="BU264" s="1"/>
  <c r="BX264" s="1"/>
  <c r="CA264" s="1"/>
  <c r="CD264" s="1"/>
  <c r="CG264" s="1"/>
  <c r="CJ264" s="1"/>
  <c r="CM264" s="1"/>
  <c r="CP264" s="1"/>
  <c r="CS264" s="1"/>
  <c r="CV264" s="1"/>
  <c r="CY264" s="1"/>
  <c r="BR245"/>
  <c r="BU245" s="1"/>
  <c r="BX245" s="1"/>
  <c r="CA245" s="1"/>
  <c r="CD245" s="1"/>
  <c r="CG245" s="1"/>
  <c r="CJ245" s="1"/>
  <c r="CM245" s="1"/>
  <c r="CP245" s="1"/>
  <c r="CS245" s="1"/>
  <c r="CV245" s="1"/>
  <c r="CY245" s="1"/>
  <c r="BR246"/>
  <c r="BU246" s="1"/>
  <c r="BX246" s="1"/>
  <c r="CA246" s="1"/>
  <c r="CD246" s="1"/>
  <c r="CG246" s="1"/>
  <c r="CJ246" s="1"/>
  <c r="CM246" s="1"/>
  <c r="CP246" s="1"/>
  <c r="CS246" s="1"/>
  <c r="CV246" s="1"/>
  <c r="CY246" s="1"/>
  <c r="BR247"/>
  <c r="BU247" s="1"/>
  <c r="BX247" s="1"/>
  <c r="CA247" s="1"/>
  <c r="CD247" s="1"/>
  <c r="CG247" s="1"/>
  <c r="CJ247" s="1"/>
  <c r="CM247" s="1"/>
  <c r="CP247" s="1"/>
  <c r="CS247" s="1"/>
  <c r="CV247" s="1"/>
  <c r="CY247" s="1"/>
  <c r="BR248"/>
  <c r="BU248" s="1"/>
  <c r="BX248" s="1"/>
  <c r="CA248" s="1"/>
  <c r="CD248" s="1"/>
  <c r="CG248" s="1"/>
  <c r="CJ248" s="1"/>
  <c r="CM248" s="1"/>
  <c r="CP248" s="1"/>
  <c r="CS248" s="1"/>
  <c r="CV248" s="1"/>
  <c r="CY248" s="1"/>
  <c r="BR252"/>
  <c r="BU252" s="1"/>
  <c r="BX252" s="1"/>
  <c r="CA252" s="1"/>
  <c r="CD252" s="1"/>
  <c r="CG252" s="1"/>
  <c r="CJ252" s="1"/>
  <c r="CM252" s="1"/>
  <c r="CP252" s="1"/>
  <c r="CS252" s="1"/>
  <c r="CV252" s="1"/>
  <c r="CY252" s="1"/>
  <c r="BR253"/>
  <c r="BU253" s="1"/>
  <c r="BX253" s="1"/>
  <c r="CA253" s="1"/>
  <c r="CD253" s="1"/>
  <c r="CG253" s="1"/>
  <c r="CJ253" s="1"/>
  <c r="CM253" s="1"/>
  <c r="CP253" s="1"/>
  <c r="CS253" s="1"/>
  <c r="CV253" s="1"/>
  <c r="CY253" s="1"/>
  <c r="BR254"/>
  <c r="BU254" s="1"/>
  <c r="BX254" s="1"/>
  <c r="CA254" s="1"/>
  <c r="CD254" s="1"/>
  <c r="CG254" s="1"/>
  <c r="CJ254" s="1"/>
  <c r="CM254" s="1"/>
  <c r="CP254" s="1"/>
  <c r="CS254" s="1"/>
  <c r="CV254" s="1"/>
  <c r="CY254" s="1"/>
  <c r="BR255"/>
  <c r="BU255" s="1"/>
  <c r="BX255" s="1"/>
  <c r="CA255" s="1"/>
  <c r="CD255" s="1"/>
  <c r="CG255" s="1"/>
  <c r="CJ255" s="1"/>
  <c r="CM255" s="1"/>
  <c r="CP255" s="1"/>
  <c r="CS255" s="1"/>
  <c r="CV255" s="1"/>
  <c r="CY255" s="1"/>
  <c r="BR256"/>
  <c r="BU256" s="1"/>
  <c r="BX256" s="1"/>
  <c r="CA256" s="1"/>
  <c r="CD256" s="1"/>
  <c r="CG256" s="1"/>
  <c r="CJ256" s="1"/>
  <c r="CM256" s="1"/>
  <c r="CP256" s="1"/>
  <c r="CS256" s="1"/>
  <c r="CV256" s="1"/>
  <c r="CY256" s="1"/>
  <c r="BR170"/>
  <c r="BU170" s="1"/>
  <c r="BX170" s="1"/>
  <c r="CA170" s="1"/>
  <c r="CD170" s="1"/>
  <c r="CG170" s="1"/>
  <c r="CJ170" s="1"/>
  <c r="CM170" s="1"/>
  <c r="CP170" s="1"/>
  <c r="CS170" s="1"/>
  <c r="CV170" s="1"/>
  <c r="CY170" s="1"/>
  <c r="BR169"/>
  <c r="BU169" s="1"/>
  <c r="BX169" s="1"/>
  <c r="CA169" s="1"/>
  <c r="CD169" s="1"/>
  <c r="CG169" s="1"/>
  <c r="CJ169" s="1"/>
  <c r="CM169" s="1"/>
  <c r="CP169" s="1"/>
  <c r="CS169" s="1"/>
  <c r="CV169" s="1"/>
  <c r="CY169" s="1"/>
  <c r="BR244"/>
  <c r="BU244" s="1"/>
  <c r="BX244" s="1"/>
  <c r="CA244" s="1"/>
  <c r="CD244" s="1"/>
  <c r="CG244" s="1"/>
  <c r="CJ244" s="1"/>
  <c r="CM244" s="1"/>
  <c r="CP244" s="1"/>
  <c r="CS244" s="1"/>
  <c r="CV244" s="1"/>
  <c r="CY244" s="1"/>
  <c r="BR243"/>
  <c r="BU243" s="1"/>
  <c r="BX243" s="1"/>
  <c r="CA243" s="1"/>
  <c r="CD243" s="1"/>
  <c r="CG243" s="1"/>
  <c r="CJ243" s="1"/>
  <c r="CM243" s="1"/>
  <c r="CP243" s="1"/>
  <c r="CS243" s="1"/>
  <c r="CV243" s="1"/>
  <c r="CY243" s="1"/>
  <c r="BR242"/>
  <c r="BU242" s="1"/>
  <c r="BX242" s="1"/>
  <c r="CA242" s="1"/>
  <c r="CD242" s="1"/>
  <c r="CG242" s="1"/>
  <c r="CJ242" s="1"/>
  <c r="CM242" s="1"/>
  <c r="CP242" s="1"/>
  <c r="CS242" s="1"/>
  <c r="CV242" s="1"/>
  <c r="CY242" s="1"/>
  <c r="BR230"/>
  <c r="BU230" s="1"/>
  <c r="BX230" s="1"/>
  <c r="CA230" s="1"/>
  <c r="CD230" s="1"/>
  <c r="CG230" s="1"/>
  <c r="CJ230" s="1"/>
  <c r="CM230" s="1"/>
  <c r="CP230" s="1"/>
  <c r="CS230" s="1"/>
  <c r="CV230" s="1"/>
  <c r="CY230" s="1"/>
  <c r="BR229"/>
  <c r="BU229" s="1"/>
  <c r="BX229" s="1"/>
  <c r="CA229" s="1"/>
  <c r="CD229" s="1"/>
  <c r="CG229" s="1"/>
  <c r="CJ229" s="1"/>
  <c r="CM229" s="1"/>
  <c r="CP229" s="1"/>
  <c r="CS229" s="1"/>
  <c r="CV229" s="1"/>
  <c r="CY229" s="1"/>
  <c r="BR228"/>
  <c r="BU228" s="1"/>
  <c r="BX228" s="1"/>
  <c r="CA228" s="1"/>
  <c r="CD228" s="1"/>
  <c r="CG228" s="1"/>
  <c r="CJ228" s="1"/>
  <c r="CM228" s="1"/>
  <c r="CP228" s="1"/>
  <c r="CS228" s="1"/>
  <c r="CV228" s="1"/>
  <c r="CY228" s="1"/>
  <c r="BR227"/>
  <c r="BU227" s="1"/>
  <c r="BX227" s="1"/>
  <c r="CA227" s="1"/>
  <c r="CD227" s="1"/>
  <c r="CG227" s="1"/>
  <c r="CJ227" s="1"/>
  <c r="CM227" s="1"/>
  <c r="CP227" s="1"/>
  <c r="CS227" s="1"/>
  <c r="CV227" s="1"/>
  <c r="CY227" s="1"/>
  <c r="BR226"/>
  <c r="BU226" s="1"/>
  <c r="BX226" s="1"/>
  <c r="CA226" s="1"/>
  <c r="CD226" s="1"/>
  <c r="CG226" s="1"/>
  <c r="CJ226" s="1"/>
  <c r="CM226" s="1"/>
  <c r="CP226" s="1"/>
  <c r="CS226" s="1"/>
  <c r="CV226" s="1"/>
  <c r="CY226" s="1"/>
  <c r="BR225"/>
  <c r="BU225" s="1"/>
  <c r="BX225" s="1"/>
  <c r="CA225" s="1"/>
  <c r="CD225" s="1"/>
  <c r="CG225" s="1"/>
  <c r="CJ225" s="1"/>
  <c r="CM225" s="1"/>
  <c r="CP225" s="1"/>
  <c r="CS225" s="1"/>
  <c r="CV225" s="1"/>
  <c r="CY225" s="1"/>
  <c r="BR224"/>
  <c r="BU224" s="1"/>
  <c r="BX224" s="1"/>
  <c r="CA224" s="1"/>
  <c r="BQ176"/>
  <c r="BR175"/>
  <c r="BR176" s="1"/>
  <c r="BR205"/>
  <c r="BR204"/>
  <c r="BU204" s="1"/>
  <c r="BX204" s="1"/>
  <c r="CA204" s="1"/>
  <c r="CD204" s="1"/>
  <c r="CG204" s="1"/>
  <c r="CJ204" s="1"/>
  <c r="CM204" s="1"/>
  <c r="CP204" s="1"/>
  <c r="CS204" s="1"/>
  <c r="CV204" s="1"/>
  <c r="CY204" s="1"/>
  <c r="BR203"/>
  <c r="BU203" s="1"/>
  <c r="BX203" s="1"/>
  <c r="CA203" s="1"/>
  <c r="BR197"/>
  <c r="BU197" s="1"/>
  <c r="BX197" s="1"/>
  <c r="CA197" s="1"/>
  <c r="CD197" s="1"/>
  <c r="CG197" s="1"/>
  <c r="CJ197" s="1"/>
  <c r="CM197" s="1"/>
  <c r="CP197" s="1"/>
  <c r="CS197" s="1"/>
  <c r="CV197" s="1"/>
  <c r="CY197" s="1"/>
  <c r="BR196"/>
  <c r="BU196" s="1"/>
  <c r="BX196" s="1"/>
  <c r="BR195"/>
  <c r="BU195" s="1"/>
  <c r="BX195" s="1"/>
  <c r="CA195" s="1"/>
  <c r="CD195" s="1"/>
  <c r="CG195" s="1"/>
  <c r="CJ195" s="1"/>
  <c r="CM195" s="1"/>
  <c r="CP195" s="1"/>
  <c r="CS195" s="1"/>
  <c r="CV195" s="1"/>
  <c r="CY195" s="1"/>
  <c r="BR194"/>
  <c r="BU194" s="1"/>
  <c r="BX194" s="1"/>
  <c r="CA194" s="1"/>
  <c r="CD194" s="1"/>
  <c r="CG194" s="1"/>
  <c r="CJ194" s="1"/>
  <c r="CM194" s="1"/>
  <c r="CP194" s="1"/>
  <c r="CS194" s="1"/>
  <c r="CV194" s="1"/>
  <c r="CY194" s="1"/>
  <c r="BR193"/>
  <c r="BU193" s="1"/>
  <c r="BX193" s="1"/>
  <c r="CA193" s="1"/>
  <c r="CD193" s="1"/>
  <c r="CG193" s="1"/>
  <c r="CJ193" s="1"/>
  <c r="CM193" s="1"/>
  <c r="CP193" s="1"/>
  <c r="CS193" s="1"/>
  <c r="CV193" s="1"/>
  <c r="CY193" s="1"/>
  <c r="BR192"/>
  <c r="BU192" s="1"/>
  <c r="BX192" s="1"/>
  <c r="CA192" s="1"/>
  <c r="CD192" s="1"/>
  <c r="CG192" s="1"/>
  <c r="CJ192" s="1"/>
  <c r="CM192" s="1"/>
  <c r="CP192" s="1"/>
  <c r="CS192" s="1"/>
  <c r="CV192" s="1"/>
  <c r="CY192" s="1"/>
  <c r="BR191"/>
  <c r="BU191" s="1"/>
  <c r="BX191" s="1"/>
  <c r="CA191" s="1"/>
  <c r="CD191" s="1"/>
  <c r="CG191" s="1"/>
  <c r="CJ191" s="1"/>
  <c r="CM191" s="1"/>
  <c r="CP191" s="1"/>
  <c r="CS191" s="1"/>
  <c r="CV191" s="1"/>
  <c r="CY191" s="1"/>
  <c r="BR190"/>
  <c r="BR201" s="1"/>
  <c r="BR189"/>
  <c r="BU189" s="1"/>
  <c r="BX189" s="1"/>
  <c r="CA189" s="1"/>
  <c r="CD189" s="1"/>
  <c r="CG189" s="1"/>
  <c r="CJ189" s="1"/>
  <c r="CM189" s="1"/>
  <c r="CP189" s="1"/>
  <c r="CS189" s="1"/>
  <c r="CV189" s="1"/>
  <c r="CY189" s="1"/>
  <c r="BR188"/>
  <c r="BU188" s="1"/>
  <c r="BX188" s="1"/>
  <c r="CA188" s="1"/>
  <c r="CD188" s="1"/>
  <c r="CG188" s="1"/>
  <c r="CJ188" s="1"/>
  <c r="CM188" s="1"/>
  <c r="CP188" s="1"/>
  <c r="CS188" s="1"/>
  <c r="CV188" s="1"/>
  <c r="CY188" s="1"/>
  <c r="BR187"/>
  <c r="BU187" s="1"/>
  <c r="BX187" s="1"/>
  <c r="CA187" s="1"/>
  <c r="CD187" s="1"/>
  <c r="CG187" s="1"/>
  <c r="CJ187" s="1"/>
  <c r="CM187" s="1"/>
  <c r="CP187" s="1"/>
  <c r="CS187" s="1"/>
  <c r="CV187" s="1"/>
  <c r="CY187" s="1"/>
  <c r="BR184"/>
  <c r="BU184" s="1"/>
  <c r="BX184" s="1"/>
  <c r="CA184" s="1"/>
  <c r="CD184" s="1"/>
  <c r="CG184" s="1"/>
  <c r="CJ184" s="1"/>
  <c r="CM184" s="1"/>
  <c r="CP184" s="1"/>
  <c r="CS184" s="1"/>
  <c r="CV184" s="1"/>
  <c r="CY184" s="1"/>
  <c r="BR180"/>
  <c r="BU180" s="1"/>
  <c r="BX180" s="1"/>
  <c r="CA180" s="1"/>
  <c r="CD180" s="1"/>
  <c r="CG180" s="1"/>
  <c r="CJ180" s="1"/>
  <c r="CM180" s="1"/>
  <c r="CP180" s="1"/>
  <c r="CS180" s="1"/>
  <c r="CV180" s="1"/>
  <c r="CY180" s="1"/>
  <c r="BR179"/>
  <c r="BU179" s="1"/>
  <c r="BX179" s="1"/>
  <c r="CA179" s="1"/>
  <c r="CD179" s="1"/>
  <c r="BR168"/>
  <c r="BR159"/>
  <c r="BU159" s="1"/>
  <c r="BX159" s="1"/>
  <c r="CA159" s="1"/>
  <c r="CD159" s="1"/>
  <c r="CG159" s="1"/>
  <c r="CJ159" s="1"/>
  <c r="CM159" s="1"/>
  <c r="CP159" s="1"/>
  <c r="CS159" s="1"/>
  <c r="CV159" s="1"/>
  <c r="CY159" s="1"/>
  <c r="BR158"/>
  <c r="BU158" s="1"/>
  <c r="BX158" s="1"/>
  <c r="CA158" s="1"/>
  <c r="CD158" s="1"/>
  <c r="CG158" s="1"/>
  <c r="CJ158" s="1"/>
  <c r="CM158" s="1"/>
  <c r="CP158" s="1"/>
  <c r="CS158" s="1"/>
  <c r="CV158" s="1"/>
  <c r="CY158" s="1"/>
  <c r="BR157"/>
  <c r="BU157" s="1"/>
  <c r="BX157" s="1"/>
  <c r="CA157" s="1"/>
  <c r="CD157" s="1"/>
  <c r="CG157" s="1"/>
  <c r="CJ157" s="1"/>
  <c r="CM157" s="1"/>
  <c r="CP157" s="1"/>
  <c r="CS157" s="1"/>
  <c r="CV157" s="1"/>
  <c r="CY157" s="1"/>
  <c r="BR156"/>
  <c r="BU156" s="1"/>
  <c r="BR155"/>
  <c r="BU155" s="1"/>
  <c r="BX155" s="1"/>
  <c r="CA155" s="1"/>
  <c r="CD155" s="1"/>
  <c r="CG155" s="1"/>
  <c r="CJ155" s="1"/>
  <c r="CM155" s="1"/>
  <c r="CP155" s="1"/>
  <c r="CS155" s="1"/>
  <c r="CV155" s="1"/>
  <c r="CY155" s="1"/>
  <c r="BR154"/>
  <c r="BU154" s="1"/>
  <c r="BX154" s="1"/>
  <c r="CA154" s="1"/>
  <c r="CD154" s="1"/>
  <c r="CG154" s="1"/>
  <c r="CJ154" s="1"/>
  <c r="CM154" s="1"/>
  <c r="CP154" s="1"/>
  <c r="CS154" s="1"/>
  <c r="CV154" s="1"/>
  <c r="CY154" s="1"/>
  <c r="BR153"/>
  <c r="BU153" s="1"/>
  <c r="BX153" s="1"/>
  <c r="CA153" s="1"/>
  <c r="CD153" s="1"/>
  <c r="CG153" s="1"/>
  <c r="CJ153" s="1"/>
  <c r="CM153" s="1"/>
  <c r="CP153" s="1"/>
  <c r="CS153" s="1"/>
  <c r="CV153" s="1"/>
  <c r="CY153" s="1"/>
  <c r="BR151"/>
  <c r="BU151" s="1"/>
  <c r="BX151" s="1"/>
  <c r="CA151" s="1"/>
  <c r="CD151" s="1"/>
  <c r="CG151" s="1"/>
  <c r="CJ151" s="1"/>
  <c r="CM151" s="1"/>
  <c r="CP151" s="1"/>
  <c r="CS151" s="1"/>
  <c r="CV151" s="1"/>
  <c r="CY151" s="1"/>
  <c r="BR150"/>
  <c r="BU150" s="1"/>
  <c r="BX150" s="1"/>
  <c r="CA150" s="1"/>
  <c r="CD150" s="1"/>
  <c r="CG150" s="1"/>
  <c r="CJ150" s="1"/>
  <c r="CM150" s="1"/>
  <c r="CP150" s="1"/>
  <c r="CS150" s="1"/>
  <c r="CV150" s="1"/>
  <c r="CY150" s="1"/>
  <c r="BR149"/>
  <c r="BU149" s="1"/>
  <c r="BX149" s="1"/>
  <c r="CA149" s="1"/>
  <c r="CD149" s="1"/>
  <c r="CG149" s="1"/>
  <c r="CJ149" s="1"/>
  <c r="CM149" s="1"/>
  <c r="CP149" s="1"/>
  <c r="CS149" s="1"/>
  <c r="CV149" s="1"/>
  <c r="CY149" s="1"/>
  <c r="BR148"/>
  <c r="BU148" s="1"/>
  <c r="BX148" s="1"/>
  <c r="CA148" s="1"/>
  <c r="CD148" s="1"/>
  <c r="CG148" s="1"/>
  <c r="CJ148" s="1"/>
  <c r="CM148" s="1"/>
  <c r="CP148" s="1"/>
  <c r="CS148" s="1"/>
  <c r="CV148" s="1"/>
  <c r="CY148" s="1"/>
  <c r="BR147"/>
  <c r="BU147" s="1"/>
  <c r="BX147" s="1"/>
  <c r="CA147" s="1"/>
  <c r="CD147" s="1"/>
  <c r="CG147" s="1"/>
  <c r="CJ147" s="1"/>
  <c r="CM147" s="1"/>
  <c r="CP147" s="1"/>
  <c r="CS147" s="1"/>
  <c r="CV147" s="1"/>
  <c r="CY147" s="1"/>
  <c r="BR144"/>
  <c r="BU144" s="1"/>
  <c r="BX144" s="1"/>
  <c r="CA144" s="1"/>
  <c r="CD144" s="1"/>
  <c r="CG144" s="1"/>
  <c r="CJ144" s="1"/>
  <c r="CM144" s="1"/>
  <c r="CP144" s="1"/>
  <c r="CS144" s="1"/>
  <c r="CV144" s="1"/>
  <c r="CY144" s="1"/>
  <c r="BR143"/>
  <c r="BU143" s="1"/>
  <c r="BX143" s="1"/>
  <c r="CA143" s="1"/>
  <c r="CD143" s="1"/>
  <c r="CG143" s="1"/>
  <c r="CJ143" s="1"/>
  <c r="CM143" s="1"/>
  <c r="CP143" s="1"/>
  <c r="CS143" s="1"/>
  <c r="CV143" s="1"/>
  <c r="BR137"/>
  <c r="BU137" s="1"/>
  <c r="BX137" s="1"/>
  <c r="CA137" s="1"/>
  <c r="CD137" s="1"/>
  <c r="CG137" s="1"/>
  <c r="CJ137" s="1"/>
  <c r="CM137" s="1"/>
  <c r="CP137" s="1"/>
  <c r="CS137" s="1"/>
  <c r="CV137" s="1"/>
  <c r="CY137" s="1"/>
  <c r="BR135"/>
  <c r="BU135" s="1"/>
  <c r="BX135" s="1"/>
  <c r="CA135" s="1"/>
  <c r="CD135" s="1"/>
  <c r="CG135" s="1"/>
  <c r="CJ135" s="1"/>
  <c r="CM135" s="1"/>
  <c r="CP135" s="1"/>
  <c r="CS135" s="1"/>
  <c r="CV135" s="1"/>
  <c r="CY135" s="1"/>
  <c r="BR133"/>
  <c r="BU133" s="1"/>
  <c r="BX133" s="1"/>
  <c r="BR126"/>
  <c r="BR131" s="1"/>
  <c r="BR123"/>
  <c r="BU123" s="1"/>
  <c r="BR122"/>
  <c r="BR125" s="1"/>
  <c r="BR118"/>
  <c r="BU118" s="1"/>
  <c r="BR117"/>
  <c r="BU117" s="1"/>
  <c r="BX117" s="1"/>
  <c r="CA117" s="1"/>
  <c r="CD117" s="1"/>
  <c r="CG117" s="1"/>
  <c r="CJ117" s="1"/>
  <c r="CM117" s="1"/>
  <c r="CP117" s="1"/>
  <c r="CS117" s="1"/>
  <c r="CV117" s="1"/>
  <c r="CY117" s="1"/>
  <c r="BR109"/>
  <c r="BR113" s="1"/>
  <c r="BR108"/>
  <c r="BR112" s="1"/>
  <c r="BR107"/>
  <c r="BU107" s="1"/>
  <c r="BX107" s="1"/>
  <c r="CA107" s="1"/>
  <c r="CD107" s="1"/>
  <c r="CG107" s="1"/>
  <c r="CJ107" s="1"/>
  <c r="CM107" s="1"/>
  <c r="CP107" s="1"/>
  <c r="CS107" s="1"/>
  <c r="CV107" s="1"/>
  <c r="CY107" s="1"/>
  <c r="BR105"/>
  <c r="BU105" s="1"/>
  <c r="BX105" s="1"/>
  <c r="CA105" s="1"/>
  <c r="CD105" s="1"/>
  <c r="BR100"/>
  <c r="BU100" s="1"/>
  <c r="BR99"/>
  <c r="BR102" s="1"/>
  <c r="BR94"/>
  <c r="BU94" s="1"/>
  <c r="BX94" s="1"/>
  <c r="CA94" s="1"/>
  <c r="CD94" s="1"/>
  <c r="CG94" s="1"/>
  <c r="CJ94" s="1"/>
  <c r="CM94" s="1"/>
  <c r="CP94" s="1"/>
  <c r="CS94" s="1"/>
  <c r="CV94" s="1"/>
  <c r="CY94" s="1"/>
  <c r="BR93"/>
  <c r="BU93" s="1"/>
  <c r="BX93" s="1"/>
  <c r="CA93" s="1"/>
  <c r="CD93" s="1"/>
  <c r="CG93" s="1"/>
  <c r="CJ93" s="1"/>
  <c r="CM93" s="1"/>
  <c r="CP93" s="1"/>
  <c r="CS93" s="1"/>
  <c r="CV93" s="1"/>
  <c r="CY93" s="1"/>
  <c r="BR92"/>
  <c r="BU92" s="1"/>
  <c r="BX92" s="1"/>
  <c r="CA92" s="1"/>
  <c r="CD92" s="1"/>
  <c r="CG92" s="1"/>
  <c r="CJ92" s="1"/>
  <c r="CM92" s="1"/>
  <c r="CP92" s="1"/>
  <c r="CS92" s="1"/>
  <c r="CV92" s="1"/>
  <c r="CY92" s="1"/>
  <c r="BR91"/>
  <c r="BU91" s="1"/>
  <c r="BR80"/>
  <c r="BR84" s="1"/>
  <c r="BR77"/>
  <c r="BU77" s="1"/>
  <c r="BX77" s="1"/>
  <c r="CA77" s="1"/>
  <c r="CD77" s="1"/>
  <c r="CG77" s="1"/>
  <c r="CJ77" s="1"/>
  <c r="CM77" s="1"/>
  <c r="CP77" s="1"/>
  <c r="CS77" s="1"/>
  <c r="CV77" s="1"/>
  <c r="CY77" s="1"/>
  <c r="BR76"/>
  <c r="BU76" s="1"/>
  <c r="BX76" s="1"/>
  <c r="CA76" s="1"/>
  <c r="CD76" s="1"/>
  <c r="BR75"/>
  <c r="BU75" s="1"/>
  <c r="BX75" s="1"/>
  <c r="CA75" s="1"/>
  <c r="CD75" s="1"/>
  <c r="CG75" s="1"/>
  <c r="CJ75" s="1"/>
  <c r="CM75" s="1"/>
  <c r="CP75" s="1"/>
  <c r="CS75" s="1"/>
  <c r="CV75" s="1"/>
  <c r="BR73"/>
  <c r="BR74" s="1"/>
  <c r="BR68"/>
  <c r="BU68" s="1"/>
  <c r="BR67"/>
  <c r="BU67" s="1"/>
  <c r="BX67" s="1"/>
  <c r="CA67" s="1"/>
  <c r="CD67" s="1"/>
  <c r="CG67" s="1"/>
  <c r="CJ67" s="1"/>
  <c r="CM67" s="1"/>
  <c r="CP67" s="1"/>
  <c r="CS67" s="1"/>
  <c r="CV67" s="1"/>
  <c r="CY67" s="1"/>
  <c r="BR66"/>
  <c r="BU66" s="1"/>
  <c r="BX66" s="1"/>
  <c r="CA66" s="1"/>
  <c r="CD66" s="1"/>
  <c r="CG66" s="1"/>
  <c r="CJ66" s="1"/>
  <c r="CM66" s="1"/>
  <c r="CP66" s="1"/>
  <c r="CS66" s="1"/>
  <c r="CV66" s="1"/>
  <c r="CY66" s="1"/>
  <c r="BR62"/>
  <c r="BU62" s="1"/>
  <c r="BX62" s="1"/>
  <c r="CA62" s="1"/>
  <c r="CD62" s="1"/>
  <c r="CG62" s="1"/>
  <c r="CJ62" s="1"/>
  <c r="CM62" s="1"/>
  <c r="CP62" s="1"/>
  <c r="CS62" s="1"/>
  <c r="CV62" s="1"/>
  <c r="CY62" s="1"/>
  <c r="BR61"/>
  <c r="BU61" s="1"/>
  <c r="BX61" s="1"/>
  <c r="CA61" s="1"/>
  <c r="CD61" s="1"/>
  <c r="CG61" s="1"/>
  <c r="CJ61" s="1"/>
  <c r="CM61" s="1"/>
  <c r="CP61" s="1"/>
  <c r="CS61" s="1"/>
  <c r="CV61" s="1"/>
  <c r="CY61" s="1"/>
  <c r="BR60"/>
  <c r="BU60" s="1"/>
  <c r="BX60" s="1"/>
  <c r="CA60" s="1"/>
  <c r="BR54"/>
  <c r="BU54" s="1"/>
  <c r="BX54" s="1"/>
  <c r="CA54" s="1"/>
  <c r="CD54" s="1"/>
  <c r="CG54" s="1"/>
  <c r="CJ54" s="1"/>
  <c r="CM54" s="1"/>
  <c r="CP54" s="1"/>
  <c r="CS54" s="1"/>
  <c r="CV54" s="1"/>
  <c r="CY54" s="1"/>
  <c r="BR53"/>
  <c r="BU53" s="1"/>
  <c r="BX53" s="1"/>
  <c r="CA53" s="1"/>
  <c r="CD53" s="1"/>
  <c r="CG53" s="1"/>
  <c r="CJ53" s="1"/>
  <c r="CM53" s="1"/>
  <c r="CP53" s="1"/>
  <c r="CS53" s="1"/>
  <c r="CV53" s="1"/>
  <c r="CY53" s="1"/>
  <c r="BR52"/>
  <c r="BU52" s="1"/>
  <c r="BX52" s="1"/>
  <c r="CA52" s="1"/>
  <c r="CD52" s="1"/>
  <c r="CG52" s="1"/>
  <c r="CJ52" s="1"/>
  <c r="CM52" s="1"/>
  <c r="CP52" s="1"/>
  <c r="CS52" s="1"/>
  <c r="CV52" s="1"/>
  <c r="CY52" s="1"/>
  <c r="BR51"/>
  <c r="BU51" s="1"/>
  <c r="BX51" s="1"/>
  <c r="CA51" s="1"/>
  <c r="CD51" s="1"/>
  <c r="CG51" s="1"/>
  <c r="CJ51" s="1"/>
  <c r="CM51" s="1"/>
  <c r="CP51" s="1"/>
  <c r="CS51" s="1"/>
  <c r="CV51" s="1"/>
  <c r="CY51" s="1"/>
  <c r="BR50"/>
  <c r="BU50" s="1"/>
  <c r="BX50" s="1"/>
  <c r="CA50" s="1"/>
  <c r="CD50" s="1"/>
  <c r="CG50" s="1"/>
  <c r="CJ50" s="1"/>
  <c r="CM50" s="1"/>
  <c r="CP50" s="1"/>
  <c r="CS50" s="1"/>
  <c r="CV50" s="1"/>
  <c r="CY50" s="1"/>
  <c r="BR47"/>
  <c r="BU47" s="1"/>
  <c r="BX47" s="1"/>
  <c r="CA47" s="1"/>
  <c r="BR43"/>
  <c r="BU43" s="1"/>
  <c r="BX43" s="1"/>
  <c r="CA43" s="1"/>
  <c r="CD43" s="1"/>
  <c r="CG43" s="1"/>
  <c r="CJ43" s="1"/>
  <c r="CM43" s="1"/>
  <c r="CP43" s="1"/>
  <c r="CS43" s="1"/>
  <c r="CV43" s="1"/>
  <c r="CY43" s="1"/>
  <c r="BR39"/>
  <c r="BU39" s="1"/>
  <c r="BR35"/>
  <c r="BR38" s="1"/>
  <c r="BR29"/>
  <c r="BU29" s="1"/>
  <c r="BR23"/>
  <c r="BU23" s="1"/>
  <c r="BR11"/>
  <c r="BR22" s="1"/>
  <c r="BR10"/>
  <c r="BR21" s="1"/>
  <c r="BR9"/>
  <c r="BU9" s="1"/>
  <c r="BX9" s="1"/>
  <c r="CA9" s="1"/>
  <c r="BR5"/>
  <c r="BR8" s="1"/>
  <c r="BR271"/>
  <c r="BR178"/>
  <c r="BR142"/>
  <c r="BR132"/>
  <c r="BQ291"/>
  <c r="BQ286"/>
  <c r="BQ279"/>
  <c r="BQ275"/>
  <c r="BQ271"/>
  <c r="BQ270"/>
  <c r="BQ237"/>
  <c r="BQ207"/>
  <c r="BQ202"/>
  <c r="BQ201"/>
  <c r="BQ200"/>
  <c r="BQ178"/>
  <c r="BQ174"/>
  <c r="BQ166"/>
  <c r="BQ167"/>
  <c r="BQ165"/>
  <c r="BQ142"/>
  <c r="BQ141"/>
  <c r="BQ132"/>
  <c r="BQ131"/>
  <c r="BQ125"/>
  <c r="BQ124"/>
  <c r="BQ121"/>
  <c r="BQ120"/>
  <c r="BQ113"/>
  <c r="BQ112"/>
  <c r="BQ111"/>
  <c r="BQ103"/>
  <c r="BQ102"/>
  <c r="BQ98"/>
  <c r="BQ97"/>
  <c r="BQ84"/>
  <c r="BQ83"/>
  <c r="BQ74"/>
  <c r="BQ71"/>
  <c r="BQ70"/>
  <c r="BQ58"/>
  <c r="BQ46"/>
  <c r="BQ38"/>
  <c r="BQ33"/>
  <c r="BQ28"/>
  <c r="BQ22"/>
  <c r="BQ21"/>
  <c r="BQ20"/>
  <c r="BQ8"/>
  <c r="BM124"/>
  <c r="CY75" l="1"/>
  <c r="CS59"/>
  <c r="CV55"/>
  <c r="CY143"/>
  <c r="CE64" i="4"/>
  <c r="CH92"/>
  <c r="CK92"/>
  <c r="CN5"/>
  <c r="BY66"/>
  <c r="CB40"/>
  <c r="CE40" s="1"/>
  <c r="CH40" s="1"/>
  <c r="CK40" s="1"/>
  <c r="CN40" s="1"/>
  <c r="BY88"/>
  <c r="CB61"/>
  <c r="CE61" s="1"/>
  <c r="CH61" s="1"/>
  <c r="CK61" s="1"/>
  <c r="CN61" s="1"/>
  <c r="CE92"/>
  <c r="CB88"/>
  <c r="CE82"/>
  <c r="CR309" i="5"/>
  <c r="CO309"/>
  <c r="CL309"/>
  <c r="CB92" i="4"/>
  <c r="CI309" i="5"/>
  <c r="BR90" i="4"/>
  <c r="BS66"/>
  <c r="BY92"/>
  <c r="BV88"/>
  <c r="BV92"/>
  <c r="BV66"/>
  <c r="BS20"/>
  <c r="BV11"/>
  <c r="BY11" s="1"/>
  <c r="BV22"/>
  <c r="BS88"/>
  <c r="BR270" i="5"/>
  <c r="CF309"/>
  <c r="BR279"/>
  <c r="CG76"/>
  <c r="CJ76" s="1"/>
  <c r="CM76" s="1"/>
  <c r="CP76" s="1"/>
  <c r="CS76" s="1"/>
  <c r="CV76" s="1"/>
  <c r="CY76" s="1"/>
  <c r="CG179"/>
  <c r="CJ179" s="1"/>
  <c r="CM179" s="1"/>
  <c r="CP179" s="1"/>
  <c r="CS179" s="1"/>
  <c r="CV179" s="1"/>
  <c r="BX202"/>
  <c r="CA196"/>
  <c r="CA237"/>
  <c r="CD224"/>
  <c r="CD60"/>
  <c r="CD9"/>
  <c r="CA58"/>
  <c r="CD47"/>
  <c r="BX141"/>
  <c r="CA133"/>
  <c r="CD203"/>
  <c r="CA301"/>
  <c r="CD292"/>
  <c r="CG105"/>
  <c r="CJ105" s="1"/>
  <c r="CM105" s="1"/>
  <c r="CP105" s="1"/>
  <c r="CS105" s="1"/>
  <c r="CV105" s="1"/>
  <c r="CC309"/>
  <c r="BZ309"/>
  <c r="BR121"/>
  <c r="BR33"/>
  <c r="BR166"/>
  <c r="BR207"/>
  <c r="BR174"/>
  <c r="BU33"/>
  <c r="BX29"/>
  <c r="BU121"/>
  <c r="BX118"/>
  <c r="BX58"/>
  <c r="BU279"/>
  <c r="BX276"/>
  <c r="BU46"/>
  <c r="BX39"/>
  <c r="BU103"/>
  <c r="BX100"/>
  <c r="BU124"/>
  <c r="BX123"/>
  <c r="BU286"/>
  <c r="BX280"/>
  <c r="BU98"/>
  <c r="BX91"/>
  <c r="BU166"/>
  <c r="BX156"/>
  <c r="BU270"/>
  <c r="BX258"/>
  <c r="BU275"/>
  <c r="BX272"/>
  <c r="BU28"/>
  <c r="BX23"/>
  <c r="BU71"/>
  <c r="BX68"/>
  <c r="BR301"/>
  <c r="BU11"/>
  <c r="BR103"/>
  <c r="BX237"/>
  <c r="BX301"/>
  <c r="BW309"/>
  <c r="BR98"/>
  <c r="BU73"/>
  <c r="BU109"/>
  <c r="BU190"/>
  <c r="BR46"/>
  <c r="BU287"/>
  <c r="BS92" i="4"/>
  <c r="BU237" i="5"/>
  <c r="BR28"/>
  <c r="BT305"/>
  <c r="BU122"/>
  <c r="BR71"/>
  <c r="BR124"/>
  <c r="BR275"/>
  <c r="BR20"/>
  <c r="BR111"/>
  <c r="BT304"/>
  <c r="BU80"/>
  <c r="BU99"/>
  <c r="BU5"/>
  <c r="BU58"/>
  <c r="BU141"/>
  <c r="BU202"/>
  <c r="BT307"/>
  <c r="BU301"/>
  <c r="BR286"/>
  <c r="BR202"/>
  <c r="BU10"/>
  <c r="BU20" s="1"/>
  <c r="BU108"/>
  <c r="BU126"/>
  <c r="BU168"/>
  <c r="BU175"/>
  <c r="BU205"/>
  <c r="BU35"/>
  <c r="BT1"/>
  <c r="BR58"/>
  <c r="BR237"/>
  <c r="BR141"/>
  <c r="BQ305"/>
  <c r="BQ307"/>
  <c r="BQ269"/>
  <c r="BQ304" s="1"/>
  <c r="BO66" i="4"/>
  <c r="C7" i="14" s="1"/>
  <c r="BO88" i="4"/>
  <c r="C6" i="14" s="1"/>
  <c r="BM160" i="5"/>
  <c r="BR160" s="1"/>
  <c r="G25" i="39"/>
  <c r="C14"/>
  <c r="C25" s="1"/>
  <c r="BM182" i="5"/>
  <c r="BR182" s="1"/>
  <c r="BU182" s="1"/>
  <c r="BX182" s="1"/>
  <c r="CA182" s="1"/>
  <c r="CD182" s="1"/>
  <c r="CG182" s="1"/>
  <c r="CJ182" s="1"/>
  <c r="CM182" s="1"/>
  <c r="CP182" s="1"/>
  <c r="CS182" s="1"/>
  <c r="CV182" s="1"/>
  <c r="CY182" s="1"/>
  <c r="BM183"/>
  <c r="BR183" s="1"/>
  <c r="BU183" s="1"/>
  <c r="BX183" s="1"/>
  <c r="CA183" s="1"/>
  <c r="CD183" s="1"/>
  <c r="CG183" s="1"/>
  <c r="CJ183" s="1"/>
  <c r="CM183" s="1"/>
  <c r="CP183" s="1"/>
  <c r="CS183" s="1"/>
  <c r="CV183" s="1"/>
  <c r="CY183" s="1"/>
  <c r="BM249"/>
  <c r="BR249" s="1"/>
  <c r="BU249" s="1"/>
  <c r="BX249" s="1"/>
  <c r="CA249" s="1"/>
  <c r="CD249" s="1"/>
  <c r="CG249" s="1"/>
  <c r="CJ249" s="1"/>
  <c r="CM249" s="1"/>
  <c r="CP249" s="1"/>
  <c r="CS249" s="1"/>
  <c r="CV249" s="1"/>
  <c r="CY249" s="1"/>
  <c r="BM87"/>
  <c r="BR87" s="1"/>
  <c r="BM63"/>
  <c r="BR63" s="1"/>
  <c r="BU63" s="1"/>
  <c r="BM88"/>
  <c r="BR88" s="1"/>
  <c r="BU88" s="1"/>
  <c r="BX88" s="1"/>
  <c r="CA88" s="1"/>
  <c r="CD88" s="1"/>
  <c r="CG88" s="1"/>
  <c r="CJ88" s="1"/>
  <c r="CM88" s="1"/>
  <c r="CP88" s="1"/>
  <c r="CS88" s="1"/>
  <c r="CV88" s="1"/>
  <c r="CY88" s="1"/>
  <c r="BM64"/>
  <c r="BR64" s="1"/>
  <c r="BU64" s="1"/>
  <c r="BX64" s="1"/>
  <c r="CA64" s="1"/>
  <c r="CD64" s="1"/>
  <c r="CG64" s="1"/>
  <c r="CJ64" s="1"/>
  <c r="CM64" s="1"/>
  <c r="CP64" s="1"/>
  <c r="CS64" s="1"/>
  <c r="CV64" s="1"/>
  <c r="CY64" s="1"/>
  <c r="BM185"/>
  <c r="BR185" s="1"/>
  <c r="BU185" s="1"/>
  <c r="BX185" s="1"/>
  <c r="CA185" s="1"/>
  <c r="CD185" s="1"/>
  <c r="CG185" s="1"/>
  <c r="CJ185" s="1"/>
  <c r="CM185" s="1"/>
  <c r="CP185" s="1"/>
  <c r="CS185" s="1"/>
  <c r="CV185" s="1"/>
  <c r="CY185" s="1"/>
  <c r="BM250"/>
  <c r="BR250" s="1"/>
  <c r="BU250" s="1"/>
  <c r="BX250" s="1"/>
  <c r="CA250" s="1"/>
  <c r="CD250" s="1"/>
  <c r="CG250" s="1"/>
  <c r="CJ250" s="1"/>
  <c r="CM250" s="1"/>
  <c r="CP250" s="1"/>
  <c r="CS250" s="1"/>
  <c r="CV250" s="1"/>
  <c r="CY250" s="1"/>
  <c r="BM251"/>
  <c r="BR251" s="1"/>
  <c r="BU251" s="1"/>
  <c r="BX251" s="1"/>
  <c r="CA251" s="1"/>
  <c r="CD251" s="1"/>
  <c r="CG251" s="1"/>
  <c r="CJ251" s="1"/>
  <c r="CM251" s="1"/>
  <c r="CP251" s="1"/>
  <c r="CS251" s="1"/>
  <c r="CV251" s="1"/>
  <c r="CY251" s="1"/>
  <c r="BM78"/>
  <c r="BR78" s="1"/>
  <c r="BM116"/>
  <c r="BR116" s="1"/>
  <c r="BM186"/>
  <c r="BR186" s="1"/>
  <c r="BU186" s="1"/>
  <c r="BX186" s="1"/>
  <c r="CA186" s="1"/>
  <c r="CD186" s="1"/>
  <c r="CG186" s="1"/>
  <c r="CJ186" s="1"/>
  <c r="CM186" s="1"/>
  <c r="CP186" s="1"/>
  <c r="CS186" s="1"/>
  <c r="CV186" s="1"/>
  <c r="CY186" s="1"/>
  <c r="BM89"/>
  <c r="BR89" s="1"/>
  <c r="BU89" s="1"/>
  <c r="BX89" s="1"/>
  <c r="CA89" s="1"/>
  <c r="CD89" s="1"/>
  <c r="CG89" s="1"/>
  <c r="CJ89" s="1"/>
  <c r="CM89" s="1"/>
  <c r="CP89" s="1"/>
  <c r="CS89" s="1"/>
  <c r="CV89" s="1"/>
  <c r="CY89" s="1"/>
  <c r="BM65"/>
  <c r="BR65" s="1"/>
  <c r="BU65" s="1"/>
  <c r="BX65" s="1"/>
  <c r="CA65" s="1"/>
  <c r="CD65" s="1"/>
  <c r="CG65" s="1"/>
  <c r="CJ65" s="1"/>
  <c r="CM65" s="1"/>
  <c r="CP65" s="1"/>
  <c r="CS65" s="1"/>
  <c r="CV65" s="1"/>
  <c r="CY65" s="1"/>
  <c r="BP41" i="4"/>
  <c r="CB66" l="1"/>
  <c r="CY105" i="5"/>
  <c r="CV59"/>
  <c r="CY55"/>
  <c r="CY59" s="1"/>
  <c r="CY179"/>
  <c r="CE88" i="4"/>
  <c r="CH82"/>
  <c r="CH64"/>
  <c r="CE66"/>
  <c r="CN92"/>
  <c r="BY20"/>
  <c r="CB11"/>
  <c r="BY22"/>
  <c r="CB22" s="1"/>
  <c r="BV20"/>
  <c r="BX121" i="5"/>
  <c r="CA118"/>
  <c r="CD301"/>
  <c r="CG292"/>
  <c r="CA141"/>
  <c r="CD133"/>
  <c r="CG9"/>
  <c r="CJ9" s="1"/>
  <c r="CM9" s="1"/>
  <c r="CA202"/>
  <c r="CD196"/>
  <c r="BX71"/>
  <c r="CA68"/>
  <c r="BX166"/>
  <c r="CA156"/>
  <c r="BX103"/>
  <c r="CA100"/>
  <c r="BX28"/>
  <c r="CA23"/>
  <c r="BX270"/>
  <c r="CA258"/>
  <c r="BX98"/>
  <c r="CA91"/>
  <c r="BX124"/>
  <c r="CA123"/>
  <c r="BX46"/>
  <c r="CA39"/>
  <c r="CG60"/>
  <c r="CJ60" s="1"/>
  <c r="CM60" s="1"/>
  <c r="CP60" s="1"/>
  <c r="CS60" s="1"/>
  <c r="CV60" s="1"/>
  <c r="BX275"/>
  <c r="CA272"/>
  <c r="BX286"/>
  <c r="CA280"/>
  <c r="BX279"/>
  <c r="CA276"/>
  <c r="BX33"/>
  <c r="CA29"/>
  <c r="CG203"/>
  <c r="CJ203" s="1"/>
  <c r="CM203" s="1"/>
  <c r="CP203" s="1"/>
  <c r="CS203" s="1"/>
  <c r="CV203" s="1"/>
  <c r="CD58"/>
  <c r="CG47"/>
  <c r="CD237"/>
  <c r="CG224"/>
  <c r="BT309"/>
  <c r="BR305"/>
  <c r="BU131"/>
  <c r="BX126"/>
  <c r="BU38"/>
  <c r="BX35"/>
  <c r="BU174"/>
  <c r="BX168"/>
  <c r="BU102"/>
  <c r="BX99"/>
  <c r="BU125"/>
  <c r="BX122"/>
  <c r="BU291"/>
  <c r="BX287"/>
  <c r="BX73"/>
  <c r="BU74"/>
  <c r="BU22"/>
  <c r="BX11"/>
  <c r="BU176"/>
  <c r="BX175"/>
  <c r="BU21"/>
  <c r="BX10"/>
  <c r="CA10" s="1"/>
  <c r="BU8"/>
  <c r="BX5"/>
  <c r="BU113"/>
  <c r="BX109"/>
  <c r="BU84"/>
  <c r="BX80"/>
  <c r="BU70"/>
  <c r="BX63"/>
  <c r="BU207"/>
  <c r="BX205"/>
  <c r="BU112"/>
  <c r="BX108"/>
  <c r="CA108" s="1"/>
  <c r="BU201"/>
  <c r="BX190"/>
  <c r="CA190" s="1"/>
  <c r="BU200"/>
  <c r="BR120"/>
  <c r="BU116"/>
  <c r="BR97"/>
  <c r="BU87"/>
  <c r="BU111"/>
  <c r="BR167"/>
  <c r="BR307" s="1"/>
  <c r="BU160"/>
  <c r="BR83"/>
  <c r="BU78"/>
  <c r="BR200"/>
  <c r="BR70"/>
  <c r="BQ309"/>
  <c r="BQ1"/>
  <c r="BM237"/>
  <c r="AH237"/>
  <c r="AH312"/>
  <c r="AI262"/>
  <c r="D14" i="34"/>
  <c r="E14"/>
  <c r="F14"/>
  <c r="D15"/>
  <c r="C14"/>
  <c r="E11"/>
  <c r="F11"/>
  <c r="E12"/>
  <c r="F12"/>
  <c r="E6"/>
  <c r="F6"/>
  <c r="E7"/>
  <c r="F7"/>
  <c r="E8"/>
  <c r="F8"/>
  <c r="E9"/>
  <c r="F9"/>
  <c r="C5"/>
  <c r="D20" i="33"/>
  <c r="F21"/>
  <c r="D22"/>
  <c r="E22"/>
  <c r="F22"/>
  <c r="C21"/>
  <c r="C22"/>
  <c r="BM145" i="5"/>
  <c r="BR145" s="1"/>
  <c r="BU145" s="1"/>
  <c r="BX145" s="1"/>
  <c r="CA145" s="1"/>
  <c r="BJ301"/>
  <c r="BM291"/>
  <c r="BJ291"/>
  <c r="BM286"/>
  <c r="BJ286"/>
  <c r="BM271"/>
  <c r="BJ271"/>
  <c r="BH271"/>
  <c r="BM270"/>
  <c r="BJ270"/>
  <c r="BJ269"/>
  <c r="BJ237"/>
  <c r="BM207"/>
  <c r="BJ207"/>
  <c r="BM202"/>
  <c r="BJ202"/>
  <c r="BM201"/>
  <c r="BJ201"/>
  <c r="BM200"/>
  <c r="BJ200"/>
  <c r="BJ174"/>
  <c r="BM174"/>
  <c r="BM167"/>
  <c r="BM166"/>
  <c r="BJ165"/>
  <c r="BJ167"/>
  <c r="BJ166"/>
  <c r="BJ141"/>
  <c r="BJ132"/>
  <c r="BJ131"/>
  <c r="BJ120"/>
  <c r="BJ111"/>
  <c r="BM113"/>
  <c r="BH113"/>
  <c r="BJ98"/>
  <c r="BJ97"/>
  <c r="BJ84"/>
  <c r="BJ83"/>
  <c r="BJ70"/>
  <c r="BJ71"/>
  <c r="BJ58"/>
  <c r="BJ38"/>
  <c r="BJ33"/>
  <c r="BJ22"/>
  <c r="BJ21"/>
  <c r="BJ20"/>
  <c r="BJ8"/>
  <c r="BM239"/>
  <c r="BM238"/>
  <c r="BM146"/>
  <c r="BR146" s="1"/>
  <c r="BU146" s="1"/>
  <c r="BX146" s="1"/>
  <c r="CA146" s="1"/>
  <c r="CD146" s="1"/>
  <c r="CG146" s="1"/>
  <c r="CJ146" s="1"/>
  <c r="CM146" s="1"/>
  <c r="CP146" s="1"/>
  <c r="CS146" s="1"/>
  <c r="CV146" s="1"/>
  <c r="CY146" s="1"/>
  <c r="CY60" l="1"/>
  <c r="CY203"/>
  <c r="CH88" i="4"/>
  <c r="CK82"/>
  <c r="CK64"/>
  <c r="CH66"/>
  <c r="CE22"/>
  <c r="CB20"/>
  <c r="CE11"/>
  <c r="CP9" i="5"/>
  <c r="CS9" s="1"/>
  <c r="CV9" s="1"/>
  <c r="CG58"/>
  <c r="CJ47"/>
  <c r="CG237"/>
  <c r="CJ224"/>
  <c r="CG301"/>
  <c r="CJ292"/>
  <c r="CA46"/>
  <c r="CD39"/>
  <c r="CA201"/>
  <c r="CD190"/>
  <c r="CA124"/>
  <c r="CD123"/>
  <c r="CA270"/>
  <c r="CD258"/>
  <c r="CA103"/>
  <c r="CD100"/>
  <c r="CA71"/>
  <c r="CD68"/>
  <c r="CA200"/>
  <c r="BX176"/>
  <c r="CA175"/>
  <c r="CA112"/>
  <c r="CD108"/>
  <c r="CA111"/>
  <c r="BX70"/>
  <c r="CA63"/>
  <c r="BX113"/>
  <c r="CA109"/>
  <c r="CA21"/>
  <c r="CD10"/>
  <c r="CA20"/>
  <c r="BX22"/>
  <c r="CA11"/>
  <c r="BX291"/>
  <c r="CA287"/>
  <c r="BX102"/>
  <c r="CA99"/>
  <c r="BX38"/>
  <c r="CA35"/>
  <c r="CA33"/>
  <c r="CD29"/>
  <c r="CA286"/>
  <c r="CD280"/>
  <c r="CD202"/>
  <c r="CG196"/>
  <c r="CD141"/>
  <c r="CG133"/>
  <c r="CA121"/>
  <c r="CD118"/>
  <c r="CA166"/>
  <c r="CD156"/>
  <c r="CA165"/>
  <c r="CD145"/>
  <c r="BX74"/>
  <c r="CA73"/>
  <c r="CA98"/>
  <c r="CD91"/>
  <c r="CA28"/>
  <c r="CD23"/>
  <c r="BX207"/>
  <c r="CA205"/>
  <c r="BX84"/>
  <c r="CA80"/>
  <c r="BX8"/>
  <c r="CA5"/>
  <c r="BX125"/>
  <c r="CA122"/>
  <c r="BX174"/>
  <c r="CA168"/>
  <c r="BX131"/>
  <c r="CA126"/>
  <c r="CD276"/>
  <c r="CA279"/>
  <c r="CA275"/>
  <c r="CD272"/>
  <c r="BX112"/>
  <c r="BX111"/>
  <c r="BX21"/>
  <c r="BX20"/>
  <c r="BU83"/>
  <c r="BX78"/>
  <c r="BU120"/>
  <c r="BX116"/>
  <c r="BX201"/>
  <c r="BX200"/>
  <c r="BU305"/>
  <c r="BX165"/>
  <c r="BU167"/>
  <c r="BU307" s="1"/>
  <c r="BX160"/>
  <c r="BU97"/>
  <c r="BX87"/>
  <c r="BU165"/>
  <c r="BN239"/>
  <c r="BR239"/>
  <c r="BU239" s="1"/>
  <c r="BX239" s="1"/>
  <c r="CA239" s="1"/>
  <c r="CD239" s="1"/>
  <c r="CG239" s="1"/>
  <c r="CJ239" s="1"/>
  <c r="CM239" s="1"/>
  <c r="CP239" s="1"/>
  <c r="CS239" s="1"/>
  <c r="CV239" s="1"/>
  <c r="CY239" s="1"/>
  <c r="BM240"/>
  <c r="BR240" s="1"/>
  <c r="BU240" s="1"/>
  <c r="BX240" s="1"/>
  <c r="CA240" s="1"/>
  <c r="CD240" s="1"/>
  <c r="BR238"/>
  <c r="BU238" s="1"/>
  <c r="BX238" s="1"/>
  <c r="CA238" s="1"/>
  <c r="BR165"/>
  <c r="BM241"/>
  <c r="BM165"/>
  <c r="BN237"/>
  <c r="BN138"/>
  <c r="BP64" i="4"/>
  <c r="BP62"/>
  <c r="BP61"/>
  <c r="BP60"/>
  <c r="BP59"/>
  <c r="BP58"/>
  <c r="BP57"/>
  <c r="BP50"/>
  <c r="BP45"/>
  <c r="BP40"/>
  <c r="BP36"/>
  <c r="BP32"/>
  <c r="BP25"/>
  <c r="BP24"/>
  <c r="BP22"/>
  <c r="BP19"/>
  <c r="BP16"/>
  <c r="BP15"/>
  <c r="BP13"/>
  <c r="BP12"/>
  <c r="BP14"/>
  <c r="BP11"/>
  <c r="BP10"/>
  <c r="BP8"/>
  <c r="BP7"/>
  <c r="BP6"/>
  <c r="BP5"/>
  <c r="BO23"/>
  <c r="BP23" s="1"/>
  <c r="BO92"/>
  <c r="BO20"/>
  <c r="C5" i="14" s="1"/>
  <c r="BO271" i="5"/>
  <c r="BN271"/>
  <c r="BO113"/>
  <c r="BN291"/>
  <c r="BN298"/>
  <c r="BN297"/>
  <c r="BN296"/>
  <c r="BO293"/>
  <c r="BN293"/>
  <c r="BN292"/>
  <c r="BN287"/>
  <c r="BO283"/>
  <c r="BN283"/>
  <c r="BO282"/>
  <c r="BN282"/>
  <c r="BN280"/>
  <c r="BN276"/>
  <c r="BN272"/>
  <c r="BN264"/>
  <c r="BN263"/>
  <c r="BN262"/>
  <c r="BN261"/>
  <c r="BN260"/>
  <c r="BN259"/>
  <c r="BN258"/>
  <c r="BN257"/>
  <c r="BN256"/>
  <c r="BN255"/>
  <c r="BN254"/>
  <c r="BN253"/>
  <c r="BN252"/>
  <c r="BN251"/>
  <c r="BN250"/>
  <c r="BN249"/>
  <c r="BN248"/>
  <c r="BN247"/>
  <c r="BN246"/>
  <c r="BN245"/>
  <c r="BN244"/>
  <c r="BN242"/>
  <c r="BN238"/>
  <c r="BO206"/>
  <c r="BN206"/>
  <c r="BN205"/>
  <c r="BN204"/>
  <c r="BN203"/>
  <c r="BN197"/>
  <c r="BN196"/>
  <c r="BN195"/>
  <c r="BN194"/>
  <c r="BO193"/>
  <c r="BN193"/>
  <c r="BN192"/>
  <c r="BN191"/>
  <c r="BN190"/>
  <c r="BN189"/>
  <c r="BN188"/>
  <c r="BN187"/>
  <c r="BN186"/>
  <c r="BN185"/>
  <c r="BN184"/>
  <c r="BN183"/>
  <c r="BN182"/>
  <c r="BN180"/>
  <c r="BN179"/>
  <c r="BN177"/>
  <c r="BN170"/>
  <c r="BN169"/>
  <c r="BN168"/>
  <c r="BN160"/>
  <c r="BN159"/>
  <c r="BN157"/>
  <c r="BN156"/>
  <c r="BN155"/>
  <c r="BN154"/>
  <c r="BN153"/>
  <c r="BN151"/>
  <c r="BN150"/>
  <c r="BN149"/>
  <c r="BN148"/>
  <c r="BN147"/>
  <c r="BN146"/>
  <c r="BN145"/>
  <c r="BN144"/>
  <c r="BN143"/>
  <c r="BN137"/>
  <c r="BN135"/>
  <c r="BN133"/>
  <c r="BN128"/>
  <c r="BN127"/>
  <c r="BN126"/>
  <c r="BN122"/>
  <c r="BN118"/>
  <c r="BN116"/>
  <c r="BN108"/>
  <c r="BN107"/>
  <c r="BN105"/>
  <c r="BN94"/>
  <c r="BN93"/>
  <c r="BN92"/>
  <c r="BN91"/>
  <c r="BN90"/>
  <c r="BN89"/>
  <c r="BN88"/>
  <c r="BN87"/>
  <c r="BN80"/>
  <c r="BN78"/>
  <c r="BN77"/>
  <c r="BN76"/>
  <c r="BN75"/>
  <c r="BN73"/>
  <c r="BN68"/>
  <c r="BN67"/>
  <c r="BN66"/>
  <c r="BN65"/>
  <c r="BN64"/>
  <c r="BN63"/>
  <c r="BN62"/>
  <c r="BN61"/>
  <c r="BN60"/>
  <c r="BN54"/>
  <c r="BN53"/>
  <c r="BN52"/>
  <c r="BN51"/>
  <c r="BN50"/>
  <c r="BN47"/>
  <c r="BN43"/>
  <c r="BN39"/>
  <c r="BN35"/>
  <c r="BN29"/>
  <c r="BN23"/>
  <c r="BN17"/>
  <c r="BN10"/>
  <c r="BN9"/>
  <c r="BN5"/>
  <c r="BM301"/>
  <c r="BN301" s="1"/>
  <c r="BN286"/>
  <c r="BM279"/>
  <c r="BM275"/>
  <c r="BN202"/>
  <c r="BM178"/>
  <c r="BN167"/>
  <c r="BM142"/>
  <c r="BM141"/>
  <c r="BN141" s="1"/>
  <c r="BM132"/>
  <c r="BN132" s="1"/>
  <c r="BM131"/>
  <c r="BN131" s="1"/>
  <c r="BM125"/>
  <c r="BM121"/>
  <c r="BM120"/>
  <c r="BM112"/>
  <c r="BM111"/>
  <c r="BM103"/>
  <c r="BM102"/>
  <c r="BM98"/>
  <c r="BN98" s="1"/>
  <c r="BM97"/>
  <c r="BN97" s="1"/>
  <c r="BM84"/>
  <c r="BM83"/>
  <c r="BN83" s="1"/>
  <c r="BM74"/>
  <c r="BM71"/>
  <c r="BM70"/>
  <c r="BN70" s="1"/>
  <c r="BM58"/>
  <c r="BN58" s="1"/>
  <c r="BM46"/>
  <c r="BM38"/>
  <c r="BN38" s="1"/>
  <c r="BM33"/>
  <c r="BN33" s="1"/>
  <c r="BM28"/>
  <c r="BM22"/>
  <c r="BM21"/>
  <c r="BM20"/>
  <c r="BN20" s="1"/>
  <c r="BM8"/>
  <c r="BK271"/>
  <c r="CY9" l="1"/>
  <c r="CH22" i="4"/>
  <c r="CK88"/>
  <c r="CN82"/>
  <c r="CN88" s="1"/>
  <c r="D6" i="14" s="1"/>
  <c r="CK66" i="4"/>
  <c r="CN64"/>
  <c r="CN66" s="1"/>
  <c r="D7" i="14" s="1"/>
  <c r="CH11" i="4"/>
  <c r="CE20"/>
  <c r="CJ58" i="5"/>
  <c r="CM47"/>
  <c r="CJ301"/>
  <c r="CM292"/>
  <c r="CJ237"/>
  <c r="CM224"/>
  <c r="CG202"/>
  <c r="CJ196"/>
  <c r="CG141"/>
  <c r="CJ133"/>
  <c r="BO30" i="4"/>
  <c r="C8" i="14" s="1"/>
  <c r="BS23" i="4"/>
  <c r="BX167" i="5"/>
  <c r="BX307" s="1"/>
  <c r="CA160"/>
  <c r="BX83"/>
  <c r="CA78"/>
  <c r="CD286"/>
  <c r="CG280"/>
  <c r="CA102"/>
  <c r="CD99"/>
  <c r="CA22"/>
  <c r="CD11"/>
  <c r="CD175"/>
  <c r="CA176"/>
  <c r="CD275"/>
  <c r="CG272"/>
  <c r="CD126"/>
  <c r="CA131"/>
  <c r="CA125"/>
  <c r="CD122"/>
  <c r="CA84"/>
  <c r="CA305" s="1"/>
  <c r="CD80"/>
  <c r="CD98"/>
  <c r="CG91"/>
  <c r="CA74"/>
  <c r="CD73"/>
  <c r="CD166"/>
  <c r="CG156"/>
  <c r="CG10"/>
  <c r="CJ10" s="1"/>
  <c r="CM10" s="1"/>
  <c r="CD21"/>
  <c r="CD20"/>
  <c r="CD63"/>
  <c r="CA70"/>
  <c r="CD103"/>
  <c r="CG100"/>
  <c r="CG123"/>
  <c r="CD124"/>
  <c r="CD46"/>
  <c r="CG39"/>
  <c r="BX120"/>
  <c r="CA116"/>
  <c r="CA38"/>
  <c r="CD35"/>
  <c r="CD112"/>
  <c r="CG108"/>
  <c r="CJ108" s="1"/>
  <c r="CM108" s="1"/>
  <c r="CD111"/>
  <c r="CG240"/>
  <c r="CJ240" s="1"/>
  <c r="CM240" s="1"/>
  <c r="CP240" s="1"/>
  <c r="CS240" s="1"/>
  <c r="CV240" s="1"/>
  <c r="CY240" s="1"/>
  <c r="BX97"/>
  <c r="CA87"/>
  <c r="CD279"/>
  <c r="CG276"/>
  <c r="CD121"/>
  <c r="CG118"/>
  <c r="CG29"/>
  <c r="CD33"/>
  <c r="CA291"/>
  <c r="CD287"/>
  <c r="CD238"/>
  <c r="CG238" s="1"/>
  <c r="CJ238" s="1"/>
  <c r="CM238" s="1"/>
  <c r="CP238" s="1"/>
  <c r="CS238" s="1"/>
  <c r="CV238" s="1"/>
  <c r="CA174"/>
  <c r="CD168"/>
  <c r="CD5"/>
  <c r="CA8"/>
  <c r="CD205"/>
  <c r="CA207"/>
  <c r="CD28"/>
  <c r="CG23"/>
  <c r="CG145"/>
  <c r="CJ145" s="1"/>
  <c r="CM145" s="1"/>
  <c r="CP145" s="1"/>
  <c r="CS145" s="1"/>
  <c r="CV145" s="1"/>
  <c r="CD165"/>
  <c r="CA113"/>
  <c r="CD109"/>
  <c r="CD71"/>
  <c r="CG68"/>
  <c r="CD270"/>
  <c r="CG258"/>
  <c r="CD201"/>
  <c r="CG190"/>
  <c r="CJ190" s="1"/>
  <c r="CM190" s="1"/>
  <c r="CP190" s="1"/>
  <c r="CS190" s="1"/>
  <c r="CV190" s="1"/>
  <c r="CD200"/>
  <c r="BX305"/>
  <c r="F7" i="33"/>
  <c r="F6"/>
  <c r="BN240" i="5"/>
  <c r="BN241"/>
  <c r="BR241"/>
  <c r="BU241" s="1"/>
  <c r="BM269"/>
  <c r="BN269" s="1"/>
  <c r="BM307"/>
  <c r="C13" i="14" s="1"/>
  <c r="BN21" i="5"/>
  <c r="BN8"/>
  <c r="BN22"/>
  <c r="BN84"/>
  <c r="BN270"/>
  <c r="BN207"/>
  <c r="BN200"/>
  <c r="BN201"/>
  <c r="BN174"/>
  <c r="BN165"/>
  <c r="BN166"/>
  <c r="BN120"/>
  <c r="BN111"/>
  <c r="BN71"/>
  <c r="BM305"/>
  <c r="BM78" i="4"/>
  <c r="BM77"/>
  <c r="BJ279" i="5"/>
  <c r="BN279" s="1"/>
  <c r="BJ275"/>
  <c r="BJ178"/>
  <c r="BJ142"/>
  <c r="BJ125"/>
  <c r="BJ113"/>
  <c r="BJ112"/>
  <c r="BN112" s="1"/>
  <c r="BJ103"/>
  <c r="BN103" s="1"/>
  <c r="BJ102"/>
  <c r="BJ74"/>
  <c r="BJ46"/>
  <c r="BJ28"/>
  <c r="BL92" i="4"/>
  <c r="BP92" s="1"/>
  <c r="BL88"/>
  <c r="BL66"/>
  <c r="BL30"/>
  <c r="BL20"/>
  <c r="BG301" i="5"/>
  <c r="BH298"/>
  <c r="BH266"/>
  <c r="BK266" s="1"/>
  <c r="BG132"/>
  <c r="BG131"/>
  <c r="BH126"/>
  <c r="BH122"/>
  <c r="BG125"/>
  <c r="BE125"/>
  <c r="BD125"/>
  <c r="BB125"/>
  <c r="BA125"/>
  <c r="AY125"/>
  <c r="AX125"/>
  <c r="AW125"/>
  <c r="AV125"/>
  <c r="AU125"/>
  <c r="AT125"/>
  <c r="AS125"/>
  <c r="AR125"/>
  <c r="AQ125"/>
  <c r="AP125"/>
  <c r="AO125"/>
  <c r="AN125"/>
  <c r="AM125"/>
  <c r="AL125"/>
  <c r="AK125"/>
  <c r="AH125"/>
  <c r="AG125"/>
  <c r="AE125"/>
  <c r="L125"/>
  <c r="N125" s="1"/>
  <c r="AB125"/>
  <c r="AA125"/>
  <c r="Y125"/>
  <c r="T125"/>
  <c r="S125"/>
  <c r="R125"/>
  <c r="Q125"/>
  <c r="BG291"/>
  <c r="BG286"/>
  <c r="BG279"/>
  <c r="BG275"/>
  <c r="BG271"/>
  <c r="BG270"/>
  <c r="BG269"/>
  <c r="BG237"/>
  <c r="BG207"/>
  <c r="BG202"/>
  <c r="BG201"/>
  <c r="BG200"/>
  <c r="BG178"/>
  <c r="BG174"/>
  <c r="BG167"/>
  <c r="BG166"/>
  <c r="BG165"/>
  <c r="BG142"/>
  <c r="BG141"/>
  <c r="BG121"/>
  <c r="BG120"/>
  <c r="BG113"/>
  <c r="BG112"/>
  <c r="BG111"/>
  <c r="BH103"/>
  <c r="BO103" s="1"/>
  <c r="BG103"/>
  <c r="BH102"/>
  <c r="BO102" s="1"/>
  <c r="BG102"/>
  <c r="BG98"/>
  <c r="BG97"/>
  <c r="BG84"/>
  <c r="BG83"/>
  <c r="BG74"/>
  <c r="BG71"/>
  <c r="BG70"/>
  <c r="BG58"/>
  <c r="BG46"/>
  <c r="BG38"/>
  <c r="BG33"/>
  <c r="BG28"/>
  <c r="BG22"/>
  <c r="BG21"/>
  <c r="BG20"/>
  <c r="BG8"/>
  <c r="CY238" l="1"/>
  <c r="CY145"/>
  <c r="CV201"/>
  <c r="CY190"/>
  <c r="CV200"/>
  <c r="CK22" i="4"/>
  <c r="CK11"/>
  <c r="CH20"/>
  <c r="CS201" i="5"/>
  <c r="CS200"/>
  <c r="CM111"/>
  <c r="CP108"/>
  <c r="CS108" s="1"/>
  <c r="CV108" s="1"/>
  <c r="CM301"/>
  <c r="CP292"/>
  <c r="CM237"/>
  <c r="CP224"/>
  <c r="CM58"/>
  <c r="CP47"/>
  <c r="CP10"/>
  <c r="CS10" s="1"/>
  <c r="CV10" s="1"/>
  <c r="CM20"/>
  <c r="CP201"/>
  <c r="CP200"/>
  <c r="CJ141"/>
  <c r="CM133"/>
  <c r="CM201"/>
  <c r="CM200"/>
  <c r="CM112"/>
  <c r="CM21"/>
  <c r="CJ202"/>
  <c r="CM196"/>
  <c r="F5" i="33"/>
  <c r="CG270" i="5"/>
  <c r="CJ258"/>
  <c r="CG28"/>
  <c r="CJ23"/>
  <c r="CG33"/>
  <c r="CJ29"/>
  <c r="CG279"/>
  <c r="CJ276"/>
  <c r="CG46"/>
  <c r="CJ39"/>
  <c r="CG103"/>
  <c r="CJ100"/>
  <c r="CJ201"/>
  <c r="CJ200"/>
  <c r="CG71"/>
  <c r="CJ68"/>
  <c r="CG124"/>
  <c r="CJ123"/>
  <c r="CG166"/>
  <c r="CJ156"/>
  <c r="CG98"/>
  <c r="CJ91"/>
  <c r="CG275"/>
  <c r="CJ272"/>
  <c r="CG286"/>
  <c r="CJ280"/>
  <c r="CG121"/>
  <c r="CJ118"/>
  <c r="CJ112"/>
  <c r="CJ111"/>
  <c r="CJ21"/>
  <c r="CJ20"/>
  <c r="BP66" i="4"/>
  <c r="BV23"/>
  <c r="BS30"/>
  <c r="BO90"/>
  <c r="BP30"/>
  <c r="CD113" i="5"/>
  <c r="CG109"/>
  <c r="CG112"/>
  <c r="CG111"/>
  <c r="CA120"/>
  <c r="CD116"/>
  <c r="CD74"/>
  <c r="CG73"/>
  <c r="CD84"/>
  <c r="CD305" s="1"/>
  <c r="CG80"/>
  <c r="CG205"/>
  <c r="CD207"/>
  <c r="CD22"/>
  <c r="CG11"/>
  <c r="CA167"/>
  <c r="CA307" s="1"/>
  <c r="CD160"/>
  <c r="CG165"/>
  <c r="CG201"/>
  <c r="CG200"/>
  <c r="CD174"/>
  <c r="CG168"/>
  <c r="CG287"/>
  <c r="CD291"/>
  <c r="CA97"/>
  <c r="CD87"/>
  <c r="CD38"/>
  <c r="CG35"/>
  <c r="CG63"/>
  <c r="CD70"/>
  <c r="CG122"/>
  <c r="CD125"/>
  <c r="CD176"/>
  <c r="CG175"/>
  <c r="CD8"/>
  <c r="CG5"/>
  <c r="CJ5" s="1"/>
  <c r="CG21"/>
  <c r="CG20"/>
  <c r="CD131"/>
  <c r="CG126"/>
  <c r="CD102"/>
  <c r="CG99"/>
  <c r="CD78"/>
  <c r="CA83"/>
  <c r="BU269"/>
  <c r="BU304" s="1"/>
  <c r="BU309" s="1"/>
  <c r="BX241"/>
  <c r="CA241" s="1"/>
  <c r="BP88" i="4"/>
  <c r="BR269" i="5"/>
  <c r="BR1" s="1"/>
  <c r="F13" i="33"/>
  <c r="BN142" i="5"/>
  <c r="BJ307"/>
  <c r="BN307" s="1"/>
  <c r="BM304"/>
  <c r="C12" i="14" s="1"/>
  <c r="BM1" i="5"/>
  <c r="BP20" i="4"/>
  <c r="BG307" i="5"/>
  <c r="BH131"/>
  <c r="BO126"/>
  <c r="BK126"/>
  <c r="BN113"/>
  <c r="BK113"/>
  <c r="BH125"/>
  <c r="BO125" s="1"/>
  <c r="BO122"/>
  <c r="BK122"/>
  <c r="BJ304"/>
  <c r="BO298"/>
  <c r="BK298"/>
  <c r="BN125"/>
  <c r="BN46"/>
  <c r="BN178"/>
  <c r="BN275"/>
  <c r="BK103"/>
  <c r="BN74"/>
  <c r="BN28"/>
  <c r="BK102"/>
  <c r="BN102"/>
  <c r="BL90" i="4"/>
  <c r="BJ121" i="5"/>
  <c r="BJ1" s="1"/>
  <c r="U125"/>
  <c r="M125"/>
  <c r="BG305"/>
  <c r="BG304"/>
  <c r="BD165"/>
  <c r="BD46"/>
  <c r="BJ24" i="4"/>
  <c r="BM24" s="1"/>
  <c r="BI66"/>
  <c r="BD200" i="5"/>
  <c r="BD132"/>
  <c r="BD131"/>
  <c r="BE127"/>
  <c r="BH127" s="1"/>
  <c r="BE107"/>
  <c r="BH107" s="1"/>
  <c r="BI20" i="4"/>
  <c r="CV21" i="5" l="1"/>
  <c r="CY10"/>
  <c r="CV20"/>
  <c r="CV112"/>
  <c r="CY108"/>
  <c r="CV111"/>
  <c r="CY201"/>
  <c r="CY200"/>
  <c r="CN22" i="4"/>
  <c r="CN11"/>
  <c r="CN20" s="1"/>
  <c r="D5" i="14" s="1"/>
  <c r="CK20" i="4"/>
  <c r="CS21" i="5"/>
  <c r="CS20"/>
  <c r="CP237"/>
  <c r="CS224"/>
  <c r="CS112"/>
  <c r="CS111"/>
  <c r="CP58"/>
  <c r="CS47"/>
  <c r="CP301"/>
  <c r="CS292"/>
  <c r="CM202"/>
  <c r="CP196"/>
  <c r="CP21"/>
  <c r="CP20"/>
  <c r="CP112"/>
  <c r="CP111"/>
  <c r="CM141"/>
  <c r="CP133"/>
  <c r="CJ275"/>
  <c r="CM272"/>
  <c r="CJ71"/>
  <c r="CM68"/>
  <c r="CJ279"/>
  <c r="CM276"/>
  <c r="CJ28"/>
  <c r="CM23"/>
  <c r="CJ121"/>
  <c r="CM118"/>
  <c r="CJ166"/>
  <c r="CM156"/>
  <c r="CP156" s="1"/>
  <c r="CS156" s="1"/>
  <c r="CV156" s="1"/>
  <c r="CJ103"/>
  <c r="CM100"/>
  <c r="CJ286"/>
  <c r="CM280"/>
  <c r="CJ98"/>
  <c r="CM91"/>
  <c r="CJ124"/>
  <c r="CM123"/>
  <c r="CJ46"/>
  <c r="CM39"/>
  <c r="CJ33"/>
  <c r="CM29"/>
  <c r="CJ270"/>
  <c r="CM258"/>
  <c r="CJ8"/>
  <c r="CM5"/>
  <c r="CG70"/>
  <c r="CJ63"/>
  <c r="CG176"/>
  <c r="CJ175"/>
  <c r="CG174"/>
  <c r="CJ168"/>
  <c r="CG84"/>
  <c r="CG305" s="1"/>
  <c r="CJ80"/>
  <c r="CM80" s="1"/>
  <c r="CG113"/>
  <c r="CJ109"/>
  <c r="CJ165"/>
  <c r="CG38"/>
  <c r="CJ35"/>
  <c r="CG207"/>
  <c r="CJ205"/>
  <c r="CG74"/>
  <c r="CJ73"/>
  <c r="CG102"/>
  <c r="CJ99"/>
  <c r="CG131"/>
  <c r="CJ126"/>
  <c r="CG125"/>
  <c r="CJ122"/>
  <c r="CG291"/>
  <c r="CJ287"/>
  <c r="CG22"/>
  <c r="CJ11"/>
  <c r="F8" i="33"/>
  <c r="E7"/>
  <c r="BY23" i="4"/>
  <c r="BV30"/>
  <c r="E8" i="33"/>
  <c r="BS90" i="4"/>
  <c r="CG8" i="5"/>
  <c r="CG78"/>
  <c r="CD83"/>
  <c r="CD120"/>
  <c r="CG116"/>
  <c r="CD167"/>
  <c r="CD307" s="1"/>
  <c r="CG160"/>
  <c r="CJ160" s="1"/>
  <c r="BM309"/>
  <c r="CD97"/>
  <c r="CG87"/>
  <c r="CD241"/>
  <c r="CA269"/>
  <c r="BU1"/>
  <c r="BX269"/>
  <c r="BX304" s="1"/>
  <c r="E5" i="33"/>
  <c r="E6"/>
  <c r="BR304" i="5"/>
  <c r="BR309" s="1"/>
  <c r="BJ313"/>
  <c r="F14" i="33"/>
  <c r="BP90" i="4"/>
  <c r="BK125" i="5"/>
  <c r="BN121"/>
  <c r="BJ309"/>
  <c r="BK131"/>
  <c r="BO131"/>
  <c r="BO127"/>
  <c r="BK127"/>
  <c r="BO107"/>
  <c r="BK107"/>
  <c r="BN304"/>
  <c r="BJ305"/>
  <c r="BG309"/>
  <c r="BG1" s="1"/>
  <c r="H23" i="38"/>
  <c r="CS58" i="5" l="1"/>
  <c r="CV47"/>
  <c r="CS237"/>
  <c r="CV224"/>
  <c r="CY112"/>
  <c r="CY111"/>
  <c r="CY21"/>
  <c r="CY20"/>
  <c r="CY156"/>
  <c r="CV166"/>
  <c r="CV165"/>
  <c r="CS301"/>
  <c r="CV292"/>
  <c r="BY30" i="4"/>
  <c r="BY90" s="1"/>
  <c r="CB23"/>
  <c r="CS166" i="5"/>
  <c r="CS165"/>
  <c r="CP141"/>
  <c r="CS133"/>
  <c r="CP202"/>
  <c r="CS196"/>
  <c r="CM84"/>
  <c r="CP80"/>
  <c r="CM8"/>
  <c r="CP5"/>
  <c r="CM33"/>
  <c r="CP29"/>
  <c r="CM124"/>
  <c r="CP123"/>
  <c r="CM286"/>
  <c r="CP280"/>
  <c r="CP166"/>
  <c r="CP165"/>
  <c r="CM28"/>
  <c r="CP23"/>
  <c r="CM71"/>
  <c r="CP68"/>
  <c r="CM270"/>
  <c r="CP258"/>
  <c r="CM46"/>
  <c r="CP39"/>
  <c r="CM98"/>
  <c r="CP91"/>
  <c r="CM103"/>
  <c r="CP100"/>
  <c r="CM121"/>
  <c r="CP118"/>
  <c r="CM279"/>
  <c r="CP276"/>
  <c r="CM275"/>
  <c r="CP272"/>
  <c r="BN309"/>
  <c r="CJ22"/>
  <c r="CM11"/>
  <c r="CP11" s="1"/>
  <c r="CJ102"/>
  <c r="CM99"/>
  <c r="CM166"/>
  <c r="CM165"/>
  <c r="CJ176"/>
  <c r="CM175"/>
  <c r="CJ125"/>
  <c r="CM122"/>
  <c r="CJ207"/>
  <c r="CM205"/>
  <c r="CJ167"/>
  <c r="CM160"/>
  <c r="CJ291"/>
  <c r="CM287"/>
  <c r="CJ131"/>
  <c r="CM126"/>
  <c r="CJ74"/>
  <c r="CM73"/>
  <c r="CJ38"/>
  <c r="CM35"/>
  <c r="CJ113"/>
  <c r="CM109"/>
  <c r="CJ174"/>
  <c r="CM168"/>
  <c r="CJ70"/>
  <c r="CM63"/>
  <c r="CG97"/>
  <c r="CJ87"/>
  <c r="CG120"/>
  <c r="CJ116"/>
  <c r="CG83"/>
  <c r="CJ78"/>
  <c r="CJ84"/>
  <c r="CJ305" s="1"/>
  <c r="BV90" i="4"/>
  <c r="CG167" i="5"/>
  <c r="CG307" s="1"/>
  <c r="CA304"/>
  <c r="CA1"/>
  <c r="CG241"/>
  <c r="CD269"/>
  <c r="CD304" s="1"/>
  <c r="BX309"/>
  <c r="BX1"/>
  <c r="E12" i="33"/>
  <c r="E14"/>
  <c r="F12"/>
  <c r="E13"/>
  <c r="BN305" i="5"/>
  <c r="BD21"/>
  <c r="BD22"/>
  <c r="BI88" i="4"/>
  <c r="Q6" i="38" s="1"/>
  <c r="BJ73" i="4"/>
  <c r="BM73" s="1"/>
  <c r="BJ50"/>
  <c r="BM50" s="1"/>
  <c r="BA5"/>
  <c r="BD5" s="1"/>
  <c r="N23" i="38"/>
  <c r="K23"/>
  <c r="I23"/>
  <c r="F23"/>
  <c r="D23"/>
  <c r="C23"/>
  <c r="O20"/>
  <c r="O23" s="1"/>
  <c r="L20"/>
  <c r="L23" s="1"/>
  <c r="I20"/>
  <c r="K8"/>
  <c r="N7"/>
  <c r="K7"/>
  <c r="N6"/>
  <c r="K6"/>
  <c r="N5"/>
  <c r="K5"/>
  <c r="Q7"/>
  <c r="Q5"/>
  <c r="BC90" i="4"/>
  <c r="BC1" s="1"/>
  <c r="BD83" i="5"/>
  <c r="AW1"/>
  <c r="BD301"/>
  <c r="BD291"/>
  <c r="BD286"/>
  <c r="BD279"/>
  <c r="BD275"/>
  <c r="BE271"/>
  <c r="BD271"/>
  <c r="BD270"/>
  <c r="BD269"/>
  <c r="BD237"/>
  <c r="BD207"/>
  <c r="BD202"/>
  <c r="BD201"/>
  <c r="BD178"/>
  <c r="BD174"/>
  <c r="BD167"/>
  <c r="BD166"/>
  <c r="BD142"/>
  <c r="BD141"/>
  <c r="BE131"/>
  <c r="BD121"/>
  <c r="BD120"/>
  <c r="BE113"/>
  <c r="BD113"/>
  <c r="BD112"/>
  <c r="BD111"/>
  <c r="BE103"/>
  <c r="BD103"/>
  <c r="BE102"/>
  <c r="BD102"/>
  <c r="BD98"/>
  <c r="BD97"/>
  <c r="BD84"/>
  <c r="BD74"/>
  <c r="BD71"/>
  <c r="BD70"/>
  <c r="BD58"/>
  <c r="BD38"/>
  <c r="BD33"/>
  <c r="BD28"/>
  <c r="BD20"/>
  <c r="BD8"/>
  <c r="BA150"/>
  <c r="BA165" s="1"/>
  <c r="BA83"/>
  <c r="BB75"/>
  <c r="BE75" s="1"/>
  <c r="BH75" s="1"/>
  <c r="BA21"/>
  <c r="BA22"/>
  <c r="BA132"/>
  <c r="BB128"/>
  <c r="BE128" s="1"/>
  <c r="BA46"/>
  <c r="BE43"/>
  <c r="BH43" s="1"/>
  <c r="BA301"/>
  <c r="BA291"/>
  <c r="BA286"/>
  <c r="BA279"/>
  <c r="BA275"/>
  <c r="BB271"/>
  <c r="BA271"/>
  <c r="BA270"/>
  <c r="BA269"/>
  <c r="BA237"/>
  <c r="BA207"/>
  <c r="BA202"/>
  <c r="BA201"/>
  <c r="BA200"/>
  <c r="BA178"/>
  <c r="BA174"/>
  <c r="BA167"/>
  <c r="BA166"/>
  <c r="BA142"/>
  <c r="BA141"/>
  <c r="BB131"/>
  <c r="BA131"/>
  <c r="BA121"/>
  <c r="BA120"/>
  <c r="BB113"/>
  <c r="BA113"/>
  <c r="BA112"/>
  <c r="BA111"/>
  <c r="BB103"/>
  <c r="BA103"/>
  <c r="BB102"/>
  <c r="BA102"/>
  <c r="BA98"/>
  <c r="BA97"/>
  <c r="BA84"/>
  <c r="BA74"/>
  <c r="BA71"/>
  <c r="BA70"/>
  <c r="BA58"/>
  <c r="BA38"/>
  <c r="BA33"/>
  <c r="BA28"/>
  <c r="BA20"/>
  <c r="BA8"/>
  <c r="BF30" i="4"/>
  <c r="N8" i="38" s="1"/>
  <c r="N23" i="37"/>
  <c r="N7"/>
  <c r="N6"/>
  <c r="N5"/>
  <c r="K23"/>
  <c r="H23"/>
  <c r="F23"/>
  <c r="D23"/>
  <c r="C23"/>
  <c r="I20"/>
  <c r="I23" s="1"/>
  <c r="K8"/>
  <c r="K7"/>
  <c r="K6"/>
  <c r="K5"/>
  <c r="AX301" i="5"/>
  <c r="AX291"/>
  <c r="AX286"/>
  <c r="AX279"/>
  <c r="AX275"/>
  <c r="AY271"/>
  <c r="AX271"/>
  <c r="AX270"/>
  <c r="AX269"/>
  <c r="AX237"/>
  <c r="AX207"/>
  <c r="AX202"/>
  <c r="AX201"/>
  <c r="AX200"/>
  <c r="AX178"/>
  <c r="AX174"/>
  <c r="AX167"/>
  <c r="AX166"/>
  <c r="AX165"/>
  <c r="AX142"/>
  <c r="AX141"/>
  <c r="AY132"/>
  <c r="AX132"/>
  <c r="AY131"/>
  <c r="AX131"/>
  <c r="AX121"/>
  <c r="AX120"/>
  <c r="AY113"/>
  <c r="AX113"/>
  <c r="AX112"/>
  <c r="AX111"/>
  <c r="AY103"/>
  <c r="AX103"/>
  <c r="AY102"/>
  <c r="AX102"/>
  <c r="AX98"/>
  <c r="AX97"/>
  <c r="AX84"/>
  <c r="AX83"/>
  <c r="AX74"/>
  <c r="AX71"/>
  <c r="AX70"/>
  <c r="AX58"/>
  <c r="AX46"/>
  <c r="AX38"/>
  <c r="AX33"/>
  <c r="AX28"/>
  <c r="AX20"/>
  <c r="AX8"/>
  <c r="L20" i="36"/>
  <c r="L23" s="1"/>
  <c r="AU28" i="5"/>
  <c r="AU33"/>
  <c r="AU38"/>
  <c r="AU46"/>
  <c r="AU58"/>
  <c r="AU71"/>
  <c r="AU70"/>
  <c r="AU74"/>
  <c r="AU84"/>
  <c r="AU83"/>
  <c r="AU98"/>
  <c r="AU97"/>
  <c r="AU103"/>
  <c r="AU102"/>
  <c r="AU113"/>
  <c r="AU112"/>
  <c r="AU111"/>
  <c r="AU121"/>
  <c r="AU120"/>
  <c r="AU132"/>
  <c r="AU131"/>
  <c r="AU142"/>
  <c r="AU141"/>
  <c r="AU167"/>
  <c r="AU166"/>
  <c r="AU165"/>
  <c r="AU174"/>
  <c r="AU178"/>
  <c r="AU202"/>
  <c r="AU201"/>
  <c r="AU200"/>
  <c r="AU207"/>
  <c r="AU237"/>
  <c r="AU271"/>
  <c r="AU270"/>
  <c r="AU269"/>
  <c r="AU275"/>
  <c r="AU279"/>
  <c r="AU286"/>
  <c r="AU291"/>
  <c r="AU301"/>
  <c r="AU20"/>
  <c r="AU8"/>
  <c r="AV177"/>
  <c r="AY177" s="1"/>
  <c r="AV271"/>
  <c r="AV132"/>
  <c r="AV131"/>
  <c r="AV113"/>
  <c r="AV103"/>
  <c r="AV102"/>
  <c r="K23" i="36"/>
  <c r="K8"/>
  <c r="K7"/>
  <c r="K6"/>
  <c r="K5"/>
  <c r="H23"/>
  <c r="F23"/>
  <c r="D23"/>
  <c r="C23"/>
  <c r="I20"/>
  <c r="I23" s="1"/>
  <c r="BD56" i="4"/>
  <c r="BG56" s="1"/>
  <c r="BJ56" s="1"/>
  <c r="BD53"/>
  <c r="BG53" s="1"/>
  <c r="BJ53" s="1"/>
  <c r="BD52"/>
  <c r="BG52" s="1"/>
  <c r="BJ52" s="1"/>
  <c r="BD51"/>
  <c r="BG51" s="1"/>
  <c r="BJ51" s="1"/>
  <c r="BD49"/>
  <c r="BG49" s="1"/>
  <c r="BJ49" s="1"/>
  <c r="BD48"/>
  <c r="BG48" s="1"/>
  <c r="BJ48" s="1"/>
  <c r="BD47"/>
  <c r="BG47" s="1"/>
  <c r="BJ47" s="1"/>
  <c r="BD46"/>
  <c r="BG46" s="1"/>
  <c r="BJ46" s="1"/>
  <c r="BD44"/>
  <c r="BG44" s="1"/>
  <c r="BJ44" s="1"/>
  <c r="BD43"/>
  <c r="BG43" s="1"/>
  <c r="BJ43" s="1"/>
  <c r="BD42"/>
  <c r="BG42" s="1"/>
  <c r="BJ42" s="1"/>
  <c r="BD40"/>
  <c r="BG40" s="1"/>
  <c r="BJ40" s="1"/>
  <c r="BM40" s="1"/>
  <c r="BD39"/>
  <c r="BG39" s="1"/>
  <c r="BJ39" s="1"/>
  <c r="BD38"/>
  <c r="BG38" s="1"/>
  <c r="BJ38" s="1"/>
  <c r="BD37"/>
  <c r="BG37" s="1"/>
  <c r="BJ37" s="1"/>
  <c r="BD35"/>
  <c r="BG35" s="1"/>
  <c r="BJ35" s="1"/>
  <c r="BD34"/>
  <c r="BG34" s="1"/>
  <c r="BJ34" s="1"/>
  <c r="BD33"/>
  <c r="BG33" s="1"/>
  <c r="BJ33" s="1"/>
  <c r="BD31"/>
  <c r="BG31" s="1"/>
  <c r="BJ31" s="1"/>
  <c r="CV301" i="5" l="1"/>
  <c r="CY292"/>
  <c r="CY301" s="1"/>
  <c r="CY166"/>
  <c r="CY165"/>
  <c r="CS202"/>
  <c r="CV196"/>
  <c r="CV58"/>
  <c r="CY47"/>
  <c r="CY58" s="1"/>
  <c r="CS141"/>
  <c r="CV133"/>
  <c r="CY224"/>
  <c r="CY237" s="1"/>
  <c r="CV237"/>
  <c r="CE23" i="4"/>
  <c r="CB30"/>
  <c r="CB90" s="1"/>
  <c r="CB1" s="1"/>
  <c r="CP279" i="5"/>
  <c r="CS276"/>
  <c r="CP103"/>
  <c r="CS100"/>
  <c r="CP46"/>
  <c r="CS39"/>
  <c r="CP71"/>
  <c r="CS68"/>
  <c r="CP124"/>
  <c r="CS123"/>
  <c r="CP8"/>
  <c r="CS5"/>
  <c r="CM305"/>
  <c r="CP22"/>
  <c r="CS11"/>
  <c r="CP275"/>
  <c r="CS272"/>
  <c r="CP121"/>
  <c r="CS118"/>
  <c r="CP98"/>
  <c r="CS91"/>
  <c r="CP270"/>
  <c r="CS258"/>
  <c r="CP28"/>
  <c r="CS23"/>
  <c r="CP286"/>
  <c r="CS280"/>
  <c r="CP33"/>
  <c r="CS29"/>
  <c r="CP84"/>
  <c r="CS80"/>
  <c r="CM38"/>
  <c r="CP35"/>
  <c r="CM131"/>
  <c r="CP126"/>
  <c r="CM167"/>
  <c r="CP160"/>
  <c r="CM125"/>
  <c r="CP122"/>
  <c r="CM70"/>
  <c r="CP63"/>
  <c r="CM174"/>
  <c r="CP168"/>
  <c r="CM113"/>
  <c r="CP109"/>
  <c r="CM74"/>
  <c r="CP73"/>
  <c r="CM291"/>
  <c r="CP287"/>
  <c r="CM207"/>
  <c r="CP205"/>
  <c r="CM176"/>
  <c r="CP175"/>
  <c r="CM102"/>
  <c r="CP99"/>
  <c r="CJ97"/>
  <c r="CM87"/>
  <c r="CM22"/>
  <c r="CJ307"/>
  <c r="CJ83"/>
  <c r="CM78"/>
  <c r="CJ120"/>
  <c r="CM116"/>
  <c r="CG269"/>
  <c r="CG304" s="1"/>
  <c r="CG309" s="1"/>
  <c r="CJ241"/>
  <c r="CA309"/>
  <c r="CD1"/>
  <c r="CD309"/>
  <c r="BO75"/>
  <c r="BK75"/>
  <c r="BK43"/>
  <c r="BO43"/>
  <c r="BE132"/>
  <c r="BH128"/>
  <c r="AV178"/>
  <c r="K9" i="38"/>
  <c r="K9" i="37"/>
  <c r="BD305" i="5"/>
  <c r="Q13" i="38" s="1"/>
  <c r="AX305" i="5"/>
  <c r="N13" i="38" s="1"/>
  <c r="BB132" i="5"/>
  <c r="AY178"/>
  <c r="BB177"/>
  <c r="BA307"/>
  <c r="AU307"/>
  <c r="AX307"/>
  <c r="K9" i="36"/>
  <c r="BF90" i="4"/>
  <c r="BF1" s="1"/>
  <c r="N8" i="37"/>
  <c r="N9" s="1"/>
  <c r="N9" i="38"/>
  <c r="L20" i="37"/>
  <c r="BD304" i="5"/>
  <c r="BD307"/>
  <c r="Q14" i="38" s="1"/>
  <c r="BA305" i="5"/>
  <c r="BA304"/>
  <c r="AX304"/>
  <c r="AU305"/>
  <c r="AU304"/>
  <c r="AR20"/>
  <c r="AR21"/>
  <c r="AR305" s="1"/>
  <c r="AR22"/>
  <c r="AR307" s="1"/>
  <c r="AR8"/>
  <c r="AR286"/>
  <c r="AS297"/>
  <c r="AV297" s="1"/>
  <c r="AY297" s="1"/>
  <c r="BB297" s="1"/>
  <c r="BE297" s="1"/>
  <c r="BH297" s="1"/>
  <c r="AS296"/>
  <c r="AV296" s="1"/>
  <c r="AS292"/>
  <c r="AV292" s="1"/>
  <c r="AY292" s="1"/>
  <c r="AS287"/>
  <c r="AS276"/>
  <c r="AS272"/>
  <c r="AS271"/>
  <c r="AS267"/>
  <c r="AV267" s="1"/>
  <c r="AY267" s="1"/>
  <c r="BB267" s="1"/>
  <c r="BE267" s="1"/>
  <c r="BH267" s="1"/>
  <c r="BK267" s="1"/>
  <c r="AS265"/>
  <c r="AV265" s="1"/>
  <c r="AY265" s="1"/>
  <c r="BB265" s="1"/>
  <c r="BE265" s="1"/>
  <c r="BH265" s="1"/>
  <c r="AS264"/>
  <c r="AV264" s="1"/>
  <c r="AY264" s="1"/>
  <c r="BB264" s="1"/>
  <c r="BE264" s="1"/>
  <c r="BH264" s="1"/>
  <c r="AS263"/>
  <c r="AV263" s="1"/>
  <c r="AY263" s="1"/>
  <c r="BB263" s="1"/>
  <c r="BE263" s="1"/>
  <c r="BH263" s="1"/>
  <c r="AS262"/>
  <c r="AV262" s="1"/>
  <c r="AY262" s="1"/>
  <c r="BB262" s="1"/>
  <c r="BE262" s="1"/>
  <c r="BH262" s="1"/>
  <c r="AS261"/>
  <c r="AV261" s="1"/>
  <c r="AY261" s="1"/>
  <c r="BB261" s="1"/>
  <c r="BE261" s="1"/>
  <c r="BH261" s="1"/>
  <c r="AS260"/>
  <c r="AV260" s="1"/>
  <c r="AY260" s="1"/>
  <c r="BB260" s="1"/>
  <c r="BE260" s="1"/>
  <c r="BH260" s="1"/>
  <c r="AS259"/>
  <c r="AV259" s="1"/>
  <c r="AY259" s="1"/>
  <c r="BB259" s="1"/>
  <c r="BE259" s="1"/>
  <c r="BH259" s="1"/>
  <c r="AS258"/>
  <c r="AS257"/>
  <c r="AV257" s="1"/>
  <c r="AY257" s="1"/>
  <c r="BB257" s="1"/>
  <c r="BE257" s="1"/>
  <c r="BH257" s="1"/>
  <c r="AS256"/>
  <c r="AV256" s="1"/>
  <c r="AY256" s="1"/>
  <c r="BB256" s="1"/>
  <c r="BE256" s="1"/>
  <c r="BH256" s="1"/>
  <c r="AS255"/>
  <c r="AV255" s="1"/>
  <c r="AY255" s="1"/>
  <c r="BB255" s="1"/>
  <c r="BE255" s="1"/>
  <c r="BH255" s="1"/>
  <c r="AS254"/>
  <c r="AV254" s="1"/>
  <c r="AY254" s="1"/>
  <c r="BB254" s="1"/>
  <c r="BE254" s="1"/>
  <c r="BH254" s="1"/>
  <c r="AS253"/>
  <c r="AV253" s="1"/>
  <c r="AY253" s="1"/>
  <c r="BB253" s="1"/>
  <c r="BE253" s="1"/>
  <c r="BH253" s="1"/>
  <c r="AS252"/>
  <c r="AV252" s="1"/>
  <c r="AY252" s="1"/>
  <c r="BB252" s="1"/>
  <c r="BE252" s="1"/>
  <c r="BH252" s="1"/>
  <c r="AS251"/>
  <c r="AV251" s="1"/>
  <c r="AY251" s="1"/>
  <c r="BB251" s="1"/>
  <c r="BE251" s="1"/>
  <c r="BH251" s="1"/>
  <c r="AS250"/>
  <c r="AV250" s="1"/>
  <c r="AY250" s="1"/>
  <c r="BB250" s="1"/>
  <c r="BE250" s="1"/>
  <c r="BH250" s="1"/>
  <c r="AS249"/>
  <c r="AV249" s="1"/>
  <c r="AY249" s="1"/>
  <c r="BB249" s="1"/>
  <c r="BE249" s="1"/>
  <c r="BH249" s="1"/>
  <c r="AS248"/>
  <c r="AV248" s="1"/>
  <c r="AY248" s="1"/>
  <c r="BB248" s="1"/>
  <c r="BE248" s="1"/>
  <c r="BH248" s="1"/>
  <c r="AS247"/>
  <c r="AV247" s="1"/>
  <c r="AY247" s="1"/>
  <c r="BB247" s="1"/>
  <c r="BE247" s="1"/>
  <c r="BH247" s="1"/>
  <c r="AS246"/>
  <c r="AV246" s="1"/>
  <c r="AY246" s="1"/>
  <c r="BB246" s="1"/>
  <c r="BE246" s="1"/>
  <c r="BH246" s="1"/>
  <c r="BO246" s="1"/>
  <c r="AS245"/>
  <c r="AV245" s="1"/>
  <c r="AY245" s="1"/>
  <c r="BB245" s="1"/>
  <c r="BE245" s="1"/>
  <c r="BH245" s="1"/>
  <c r="AS244"/>
  <c r="AV244" s="1"/>
  <c r="AY244" s="1"/>
  <c r="BB244" s="1"/>
  <c r="BE244" s="1"/>
  <c r="BH244" s="1"/>
  <c r="AS243"/>
  <c r="AV243" s="1"/>
  <c r="AY243" s="1"/>
  <c r="BB243" s="1"/>
  <c r="BE243" s="1"/>
  <c r="BH243" s="1"/>
  <c r="AS242"/>
  <c r="AV242" s="1"/>
  <c r="AY242" s="1"/>
  <c r="BB242" s="1"/>
  <c r="BE242" s="1"/>
  <c r="BH242" s="1"/>
  <c r="AS241"/>
  <c r="AV241" s="1"/>
  <c r="AY241" s="1"/>
  <c r="BB241" s="1"/>
  <c r="BE241" s="1"/>
  <c r="BH241" s="1"/>
  <c r="AS240"/>
  <c r="AV240" s="1"/>
  <c r="AY240" s="1"/>
  <c r="BB240" s="1"/>
  <c r="BE240" s="1"/>
  <c r="BH240" s="1"/>
  <c r="AS239"/>
  <c r="AV239" s="1"/>
  <c r="AY239" s="1"/>
  <c r="AS238"/>
  <c r="AV238" s="1"/>
  <c r="AY238" s="1"/>
  <c r="BB238" s="1"/>
  <c r="BE238" s="1"/>
  <c r="BH238" s="1"/>
  <c r="AS221"/>
  <c r="AV221" s="1"/>
  <c r="AY221" s="1"/>
  <c r="BB221" s="1"/>
  <c r="BE221" s="1"/>
  <c r="BH221" s="1"/>
  <c r="BK221" s="1"/>
  <c r="AS220"/>
  <c r="AV220" s="1"/>
  <c r="AY220" s="1"/>
  <c r="BB220" s="1"/>
  <c r="BE220" s="1"/>
  <c r="BH220" s="1"/>
  <c r="BK220" s="1"/>
  <c r="AS219"/>
  <c r="AV219" s="1"/>
  <c r="AY219" s="1"/>
  <c r="BB219" s="1"/>
  <c r="BE219" s="1"/>
  <c r="BH219" s="1"/>
  <c r="BK219" s="1"/>
  <c r="AS218"/>
  <c r="AV218" s="1"/>
  <c r="AY218" s="1"/>
  <c r="BB218" s="1"/>
  <c r="BE218" s="1"/>
  <c r="BH218" s="1"/>
  <c r="BK218" s="1"/>
  <c r="AS217"/>
  <c r="AV217" s="1"/>
  <c r="AY217" s="1"/>
  <c r="BB217" s="1"/>
  <c r="BE217" s="1"/>
  <c r="BH217" s="1"/>
  <c r="BK217" s="1"/>
  <c r="AS216"/>
  <c r="AV216" s="1"/>
  <c r="AY216" s="1"/>
  <c r="BB216" s="1"/>
  <c r="BE216" s="1"/>
  <c r="BH216" s="1"/>
  <c r="BK216" s="1"/>
  <c r="AS215"/>
  <c r="AV215" s="1"/>
  <c r="AY215" s="1"/>
  <c r="AS205"/>
  <c r="AV205" s="1"/>
  <c r="AY205" s="1"/>
  <c r="BB205" s="1"/>
  <c r="BE205" s="1"/>
  <c r="BH205" s="1"/>
  <c r="AS204"/>
  <c r="AS203"/>
  <c r="AV203" s="1"/>
  <c r="AY203" s="1"/>
  <c r="AS197"/>
  <c r="AV197" s="1"/>
  <c r="AY197" s="1"/>
  <c r="BB197" s="1"/>
  <c r="BE197" s="1"/>
  <c r="BH197" s="1"/>
  <c r="BO197" s="1"/>
  <c r="AS196"/>
  <c r="AV196" s="1"/>
  <c r="AS195"/>
  <c r="AV195" s="1"/>
  <c r="AY195" s="1"/>
  <c r="BB195" s="1"/>
  <c r="BE195" s="1"/>
  <c r="BH195" s="1"/>
  <c r="BO195" s="1"/>
  <c r="AS194"/>
  <c r="AV194" s="1"/>
  <c r="AY194" s="1"/>
  <c r="BB194" s="1"/>
  <c r="BE194" s="1"/>
  <c r="BH194" s="1"/>
  <c r="BO194" s="1"/>
  <c r="AS192"/>
  <c r="AV192" s="1"/>
  <c r="AY192" s="1"/>
  <c r="BB192" s="1"/>
  <c r="BE192" s="1"/>
  <c r="BH192" s="1"/>
  <c r="AS191"/>
  <c r="AV191" s="1"/>
  <c r="AY191" s="1"/>
  <c r="BB191" s="1"/>
  <c r="BE191" s="1"/>
  <c r="BH191" s="1"/>
  <c r="AS190"/>
  <c r="AS189"/>
  <c r="AV189" s="1"/>
  <c r="AY189" s="1"/>
  <c r="BB189" s="1"/>
  <c r="BE189" s="1"/>
  <c r="BH189" s="1"/>
  <c r="AS188"/>
  <c r="AV188" s="1"/>
  <c r="AY188" s="1"/>
  <c r="BB188" s="1"/>
  <c r="BE188" s="1"/>
  <c r="BH188" s="1"/>
  <c r="AS187"/>
  <c r="AV187" s="1"/>
  <c r="AY187" s="1"/>
  <c r="BB187" s="1"/>
  <c r="BE187" s="1"/>
  <c r="BH187" s="1"/>
  <c r="AS186"/>
  <c r="AV186" s="1"/>
  <c r="AY186" s="1"/>
  <c r="BB186" s="1"/>
  <c r="BE186" s="1"/>
  <c r="BH186" s="1"/>
  <c r="AS185"/>
  <c r="AV185" s="1"/>
  <c r="AY185" s="1"/>
  <c r="BB185" s="1"/>
  <c r="BE185" s="1"/>
  <c r="BH185" s="1"/>
  <c r="AS184"/>
  <c r="AV184" s="1"/>
  <c r="AY184" s="1"/>
  <c r="BB184" s="1"/>
  <c r="BE184" s="1"/>
  <c r="BH184" s="1"/>
  <c r="AS183"/>
  <c r="AV183" s="1"/>
  <c r="AY183" s="1"/>
  <c r="BB183" s="1"/>
  <c r="BE183" s="1"/>
  <c r="BH183" s="1"/>
  <c r="AS182"/>
  <c r="AV182" s="1"/>
  <c r="AY182" s="1"/>
  <c r="AS180"/>
  <c r="AV180" s="1"/>
  <c r="AY180" s="1"/>
  <c r="BB180" s="1"/>
  <c r="BE180" s="1"/>
  <c r="BH180" s="1"/>
  <c r="AS179"/>
  <c r="AV179" s="1"/>
  <c r="AY179" s="1"/>
  <c r="BB179" s="1"/>
  <c r="BE179" s="1"/>
  <c r="BH179" s="1"/>
  <c r="AS170"/>
  <c r="AV170" s="1"/>
  <c r="AY170" s="1"/>
  <c r="BB170" s="1"/>
  <c r="BE170" s="1"/>
  <c r="BH170" s="1"/>
  <c r="AS169"/>
  <c r="AV169" s="1"/>
  <c r="AY169" s="1"/>
  <c r="BB169" s="1"/>
  <c r="BE169" s="1"/>
  <c r="BH169" s="1"/>
  <c r="AS168"/>
  <c r="AV168" s="1"/>
  <c r="AY168" s="1"/>
  <c r="AS156"/>
  <c r="AS157"/>
  <c r="AV157" s="1"/>
  <c r="AY157" s="1"/>
  <c r="BB157" s="1"/>
  <c r="BE157" s="1"/>
  <c r="BH157" s="1"/>
  <c r="AS159"/>
  <c r="AV159" s="1"/>
  <c r="AY159" s="1"/>
  <c r="BB159" s="1"/>
  <c r="BE159" s="1"/>
  <c r="BH159" s="1"/>
  <c r="AS51"/>
  <c r="AV51" s="1"/>
  <c r="AY51" s="1"/>
  <c r="BB51" s="1"/>
  <c r="BE51" s="1"/>
  <c r="BH51" s="1"/>
  <c r="AS50"/>
  <c r="AV50" s="1"/>
  <c r="AY50" s="1"/>
  <c r="BB50" s="1"/>
  <c r="BE50" s="1"/>
  <c r="BH50" s="1"/>
  <c r="AS144"/>
  <c r="AV144" s="1"/>
  <c r="AY144" s="1"/>
  <c r="BB144" s="1"/>
  <c r="BE144" s="1"/>
  <c r="BH144" s="1"/>
  <c r="AS145"/>
  <c r="AV145" s="1"/>
  <c r="AY145" s="1"/>
  <c r="BB145" s="1"/>
  <c r="BE145" s="1"/>
  <c r="BH145" s="1"/>
  <c r="AS146"/>
  <c r="AV146" s="1"/>
  <c r="AY146" s="1"/>
  <c r="BB146" s="1"/>
  <c r="BE146" s="1"/>
  <c r="BH146" s="1"/>
  <c r="AS147"/>
  <c r="AV147" s="1"/>
  <c r="AY147" s="1"/>
  <c r="BB147" s="1"/>
  <c r="BE147" s="1"/>
  <c r="BH147" s="1"/>
  <c r="AS148"/>
  <c r="AV148" s="1"/>
  <c r="AY148" s="1"/>
  <c r="BB148" s="1"/>
  <c r="BE148" s="1"/>
  <c r="BH148" s="1"/>
  <c r="AS149"/>
  <c r="AV149" s="1"/>
  <c r="AY149" s="1"/>
  <c r="BB149" s="1"/>
  <c r="BE149" s="1"/>
  <c r="BH149" s="1"/>
  <c r="AS150"/>
  <c r="AV150" s="1"/>
  <c r="AY150" s="1"/>
  <c r="BB150" s="1"/>
  <c r="AS151"/>
  <c r="AV151" s="1"/>
  <c r="AY151" s="1"/>
  <c r="BB151" s="1"/>
  <c r="BE151" s="1"/>
  <c r="BH151" s="1"/>
  <c r="AS153"/>
  <c r="AV153" s="1"/>
  <c r="AY153" s="1"/>
  <c r="BB153" s="1"/>
  <c r="BE153" s="1"/>
  <c r="BH153" s="1"/>
  <c r="AS154"/>
  <c r="AV154" s="1"/>
  <c r="AY154" s="1"/>
  <c r="BB154" s="1"/>
  <c r="BE154" s="1"/>
  <c r="BH154" s="1"/>
  <c r="AS143"/>
  <c r="AV143" s="1"/>
  <c r="AY143" s="1"/>
  <c r="AS137"/>
  <c r="AV137" s="1"/>
  <c r="AS135"/>
  <c r="AV135" s="1"/>
  <c r="AY135" s="1"/>
  <c r="BB135" s="1"/>
  <c r="BE135" s="1"/>
  <c r="BH135" s="1"/>
  <c r="AS133"/>
  <c r="AV133" s="1"/>
  <c r="AY133" s="1"/>
  <c r="AS131"/>
  <c r="AS127"/>
  <c r="AS132" s="1"/>
  <c r="AS118"/>
  <c r="AS116"/>
  <c r="AV116" s="1"/>
  <c r="AY116" s="1"/>
  <c r="BB116" s="1"/>
  <c r="BE116" s="1"/>
  <c r="BH116" s="1"/>
  <c r="AS114"/>
  <c r="AV114" s="1"/>
  <c r="AY114" s="1"/>
  <c r="AS109"/>
  <c r="AS113" s="1"/>
  <c r="AS105"/>
  <c r="AV105" s="1"/>
  <c r="AY105" s="1"/>
  <c r="BB105" s="1"/>
  <c r="BE105" s="1"/>
  <c r="BH105" s="1"/>
  <c r="AS104"/>
  <c r="AV104" s="1"/>
  <c r="AY104" s="1"/>
  <c r="BB104" s="1"/>
  <c r="AS103"/>
  <c r="AS102"/>
  <c r="AK102"/>
  <c r="AK103"/>
  <c r="AS101"/>
  <c r="AS94"/>
  <c r="AV94" s="1"/>
  <c r="AY94" s="1"/>
  <c r="BB94" s="1"/>
  <c r="BE94" s="1"/>
  <c r="BH94" s="1"/>
  <c r="AS93"/>
  <c r="AV93" s="1"/>
  <c r="AY93" s="1"/>
  <c r="BB93" s="1"/>
  <c r="BE93" s="1"/>
  <c r="BH93" s="1"/>
  <c r="BO93" s="1"/>
  <c r="AS92"/>
  <c r="AV92" s="1"/>
  <c r="AY92" s="1"/>
  <c r="BB92" s="1"/>
  <c r="BE92" s="1"/>
  <c r="BH92" s="1"/>
  <c r="BO92" s="1"/>
  <c r="AS91"/>
  <c r="AS90"/>
  <c r="AV90" s="1"/>
  <c r="AY90" s="1"/>
  <c r="BB90" s="1"/>
  <c r="BE90" s="1"/>
  <c r="BH90" s="1"/>
  <c r="BO90" s="1"/>
  <c r="AS89"/>
  <c r="AV89" s="1"/>
  <c r="AY89" s="1"/>
  <c r="BB89" s="1"/>
  <c r="BE89" s="1"/>
  <c r="BH89" s="1"/>
  <c r="AS88"/>
  <c r="AV88" s="1"/>
  <c r="AY88" s="1"/>
  <c r="BB88" s="1"/>
  <c r="BE88" s="1"/>
  <c r="BH88" s="1"/>
  <c r="AS87"/>
  <c r="AV87" s="1"/>
  <c r="AY87" s="1"/>
  <c r="AS86"/>
  <c r="AV86" s="1"/>
  <c r="AY86" s="1"/>
  <c r="BB86" s="1"/>
  <c r="BE86" s="1"/>
  <c r="BH86" s="1"/>
  <c r="AS80"/>
  <c r="AS78"/>
  <c r="AV78" s="1"/>
  <c r="AY78" s="1"/>
  <c r="BB78" s="1"/>
  <c r="BE78" s="1"/>
  <c r="BH78" s="1"/>
  <c r="AS77"/>
  <c r="AV77" s="1"/>
  <c r="AY77" s="1"/>
  <c r="AS76"/>
  <c r="AV76" s="1"/>
  <c r="AY76" s="1"/>
  <c r="BB76" s="1"/>
  <c r="BE76" s="1"/>
  <c r="BH76" s="1"/>
  <c r="AS73"/>
  <c r="AS61"/>
  <c r="AV61" s="1"/>
  <c r="AY61" s="1"/>
  <c r="AS62"/>
  <c r="AV62" s="1"/>
  <c r="AY62" s="1"/>
  <c r="BB62" s="1"/>
  <c r="BE62" s="1"/>
  <c r="BH62" s="1"/>
  <c r="AS63"/>
  <c r="AV63" s="1"/>
  <c r="AY63" s="1"/>
  <c r="BB63" s="1"/>
  <c r="BE63" s="1"/>
  <c r="BH63" s="1"/>
  <c r="AS64"/>
  <c r="AV64" s="1"/>
  <c r="AY64" s="1"/>
  <c r="BB64" s="1"/>
  <c r="BE64" s="1"/>
  <c r="BH64" s="1"/>
  <c r="AS65"/>
  <c r="AV65" s="1"/>
  <c r="AY65" s="1"/>
  <c r="BB65" s="1"/>
  <c r="BE65" s="1"/>
  <c r="BH65" s="1"/>
  <c r="AS66"/>
  <c r="AV66" s="1"/>
  <c r="AY66" s="1"/>
  <c r="BB66" s="1"/>
  <c r="BE66" s="1"/>
  <c r="BH66" s="1"/>
  <c r="AS67"/>
  <c r="AV67" s="1"/>
  <c r="AY67" s="1"/>
  <c r="BB67" s="1"/>
  <c r="BE67" s="1"/>
  <c r="BH67" s="1"/>
  <c r="AS68"/>
  <c r="AS60"/>
  <c r="AV60" s="1"/>
  <c r="AY60" s="1"/>
  <c r="BB60" s="1"/>
  <c r="BE60" s="1"/>
  <c r="BH60" s="1"/>
  <c r="AS54"/>
  <c r="AV54" s="1"/>
  <c r="AY54" s="1"/>
  <c r="BB54" s="1"/>
  <c r="BE54" s="1"/>
  <c r="BH54" s="1"/>
  <c r="AS53"/>
  <c r="AV53" s="1"/>
  <c r="AY53" s="1"/>
  <c r="BB53" s="1"/>
  <c r="BE53" s="1"/>
  <c r="BH53" s="1"/>
  <c r="AS52"/>
  <c r="AV52" s="1"/>
  <c r="AY52" s="1"/>
  <c r="BE52" s="1"/>
  <c r="BH52" s="1"/>
  <c r="AS47"/>
  <c r="AV47" s="1"/>
  <c r="AY47" s="1"/>
  <c r="AS39"/>
  <c r="AS35"/>
  <c r="AS29"/>
  <c r="AS23"/>
  <c r="AS11"/>
  <c r="AV11" s="1"/>
  <c r="AY11" s="1"/>
  <c r="AS9"/>
  <c r="AV9" s="1"/>
  <c r="AY9" s="1"/>
  <c r="BB9" s="1"/>
  <c r="BE9" s="1"/>
  <c r="BH9" s="1"/>
  <c r="AS5"/>
  <c r="AS280"/>
  <c r="AZ92" i="4"/>
  <c r="AZ88"/>
  <c r="AZ66"/>
  <c r="AZ30"/>
  <c r="AZ20"/>
  <c r="BA72"/>
  <c r="BD72" s="1"/>
  <c r="BA64"/>
  <c r="BD64" s="1"/>
  <c r="BG64" s="1"/>
  <c r="BJ64" s="1"/>
  <c r="BM64" s="1"/>
  <c r="BA62"/>
  <c r="BD62" s="1"/>
  <c r="BG62" s="1"/>
  <c r="BJ62" s="1"/>
  <c r="BM62" s="1"/>
  <c r="BA61"/>
  <c r="BD61" s="1"/>
  <c r="BG61" s="1"/>
  <c r="BJ61" s="1"/>
  <c r="BM61" s="1"/>
  <c r="BA60"/>
  <c r="BD60" s="1"/>
  <c r="BG60" s="1"/>
  <c r="BJ60" s="1"/>
  <c r="BM60" s="1"/>
  <c r="BA59"/>
  <c r="BD59" s="1"/>
  <c r="BG59" s="1"/>
  <c r="BJ59" s="1"/>
  <c r="BM59" s="1"/>
  <c r="BA58"/>
  <c r="BD58" s="1"/>
  <c r="BG58" s="1"/>
  <c r="BJ58" s="1"/>
  <c r="BM58" s="1"/>
  <c r="BA57"/>
  <c r="BD57" s="1"/>
  <c r="BG57" s="1"/>
  <c r="BJ57" s="1"/>
  <c r="BM57" s="1"/>
  <c r="BA55"/>
  <c r="BD55" s="1"/>
  <c r="BA54"/>
  <c r="BD54" s="1"/>
  <c r="BG54" s="1"/>
  <c r="BJ54" s="1"/>
  <c r="BA45"/>
  <c r="BD45" s="1"/>
  <c r="BG45" s="1"/>
  <c r="BJ45" s="1"/>
  <c r="BM45" s="1"/>
  <c r="BA36"/>
  <c r="BD36" s="1"/>
  <c r="BG36" s="1"/>
  <c r="BJ36" s="1"/>
  <c r="BM36" s="1"/>
  <c r="BA32"/>
  <c r="BD32" s="1"/>
  <c r="BG32" s="1"/>
  <c r="BJ32" s="1"/>
  <c r="BM32" s="1"/>
  <c r="BA23"/>
  <c r="BD23" s="1"/>
  <c r="BG23" s="1"/>
  <c r="BJ23" s="1"/>
  <c r="BM23" s="1"/>
  <c r="BA24"/>
  <c r="BD24" s="1"/>
  <c r="BG24" s="1"/>
  <c r="BA25"/>
  <c r="BD25" s="1"/>
  <c r="BG25" s="1"/>
  <c r="BJ25" s="1"/>
  <c r="BM25" s="1"/>
  <c r="BA26"/>
  <c r="BD26" s="1"/>
  <c r="BG26" s="1"/>
  <c r="BA27"/>
  <c r="BD27" s="1"/>
  <c r="BG27" s="1"/>
  <c r="BJ27" s="1"/>
  <c r="BA22"/>
  <c r="BD22" s="1"/>
  <c r="BG22" s="1"/>
  <c r="BA6"/>
  <c r="BD6" s="1"/>
  <c r="BG6" s="1"/>
  <c r="BJ6" s="1"/>
  <c r="BM6" s="1"/>
  <c r="BA7"/>
  <c r="BD7" s="1"/>
  <c r="BG7" s="1"/>
  <c r="BJ7" s="1"/>
  <c r="BM7" s="1"/>
  <c r="BA8"/>
  <c r="BD8" s="1"/>
  <c r="BG8" s="1"/>
  <c r="BJ8" s="1"/>
  <c r="BM8" s="1"/>
  <c r="BA9"/>
  <c r="BD9" s="1"/>
  <c r="BG9" s="1"/>
  <c r="BJ9" s="1"/>
  <c r="BA10"/>
  <c r="BD10" s="1"/>
  <c r="BG10" s="1"/>
  <c r="BJ10" s="1"/>
  <c r="BM10" s="1"/>
  <c r="BA11"/>
  <c r="BD11" s="1"/>
  <c r="BG11" s="1"/>
  <c r="BJ11" s="1"/>
  <c r="BM11" s="1"/>
  <c r="BA12"/>
  <c r="BD12" s="1"/>
  <c r="BG12" s="1"/>
  <c r="BJ12" s="1"/>
  <c r="BM12" s="1"/>
  <c r="BA13"/>
  <c r="BD13" s="1"/>
  <c r="BG13" s="1"/>
  <c r="BJ13" s="1"/>
  <c r="BM13" s="1"/>
  <c r="BA15"/>
  <c r="BD15" s="1"/>
  <c r="BG15" s="1"/>
  <c r="BJ15" s="1"/>
  <c r="BM15" s="1"/>
  <c r="BA16"/>
  <c r="BD16" s="1"/>
  <c r="BG16" s="1"/>
  <c r="BJ16" s="1"/>
  <c r="BM16" s="1"/>
  <c r="BA18"/>
  <c r="BD18" s="1"/>
  <c r="BG18" s="1"/>
  <c r="BJ18" s="1"/>
  <c r="BA19"/>
  <c r="BD19" s="1"/>
  <c r="BG19" s="1"/>
  <c r="BJ19" s="1"/>
  <c r="BM19" s="1"/>
  <c r="AK155" i="5"/>
  <c r="AS155" s="1"/>
  <c r="AV155" s="1"/>
  <c r="AY155" s="1"/>
  <c r="BB155" s="1"/>
  <c r="BE155" s="1"/>
  <c r="BH155" s="1"/>
  <c r="AP155"/>
  <c r="AK301"/>
  <c r="AK291"/>
  <c r="AK286"/>
  <c r="AK279"/>
  <c r="AK275"/>
  <c r="AK269"/>
  <c r="AK271"/>
  <c r="AK270"/>
  <c r="L269"/>
  <c r="AK237"/>
  <c r="AK207"/>
  <c r="AK202"/>
  <c r="AK201"/>
  <c r="AK200"/>
  <c r="AK174"/>
  <c r="AK166"/>
  <c r="AK141"/>
  <c r="AK132"/>
  <c r="AK131"/>
  <c r="AK121"/>
  <c r="AK120"/>
  <c r="AK113"/>
  <c r="D16" i="34"/>
  <c r="F13"/>
  <c r="E13"/>
  <c r="F10"/>
  <c r="E10"/>
  <c r="CS33" i="5" l="1"/>
  <c r="CV29"/>
  <c r="CS28"/>
  <c r="CV23"/>
  <c r="CS98"/>
  <c r="CV91"/>
  <c r="CS275"/>
  <c r="CV272"/>
  <c r="CS124"/>
  <c r="CV123"/>
  <c r="CS46"/>
  <c r="CV39"/>
  <c r="CS279"/>
  <c r="CV276"/>
  <c r="CV202"/>
  <c r="CY196"/>
  <c r="CY202" s="1"/>
  <c r="CS84"/>
  <c r="CV80"/>
  <c r="CS286"/>
  <c r="CV280"/>
  <c r="CS270"/>
  <c r="CV258"/>
  <c r="CS121"/>
  <c r="CV118"/>
  <c r="CS22"/>
  <c r="CV11"/>
  <c r="CP305"/>
  <c r="CS8"/>
  <c r="CV5"/>
  <c r="CS71"/>
  <c r="CV68"/>
  <c r="CS103"/>
  <c r="CV100"/>
  <c r="CY133"/>
  <c r="CY141" s="1"/>
  <c r="CV141"/>
  <c r="CH23" i="4"/>
  <c r="CE30"/>
  <c r="CE90" s="1"/>
  <c r="CE1" s="1"/>
  <c r="CP102" i="5"/>
  <c r="CS99"/>
  <c r="CP207"/>
  <c r="CS205"/>
  <c r="CP74"/>
  <c r="CS73"/>
  <c r="CP174"/>
  <c r="CS168"/>
  <c r="CP125"/>
  <c r="CS122"/>
  <c r="CP131"/>
  <c r="CS126"/>
  <c r="CP176"/>
  <c r="CS175"/>
  <c r="CP291"/>
  <c r="CS287"/>
  <c r="CP113"/>
  <c r="CS109"/>
  <c r="CP70"/>
  <c r="CS63"/>
  <c r="CP167"/>
  <c r="CS160"/>
  <c r="CP38"/>
  <c r="CS35"/>
  <c r="CP307"/>
  <c r="CM83"/>
  <c r="CP78"/>
  <c r="CM97"/>
  <c r="CP87"/>
  <c r="CM120"/>
  <c r="CP116"/>
  <c r="CM307"/>
  <c r="CJ269"/>
  <c r="CM241"/>
  <c r="CG1"/>
  <c r="BI22" i="4"/>
  <c r="BI30" s="1"/>
  <c r="AK165" i="5"/>
  <c r="BK155"/>
  <c r="BO155"/>
  <c r="BO62"/>
  <c r="BK62"/>
  <c r="BO180"/>
  <c r="BK180"/>
  <c r="BK189"/>
  <c r="BO189"/>
  <c r="BO244"/>
  <c r="BK244"/>
  <c r="BO248"/>
  <c r="BK248"/>
  <c r="BO252"/>
  <c r="BK252"/>
  <c r="BO256"/>
  <c r="BK256"/>
  <c r="BO260"/>
  <c r="BK260"/>
  <c r="BO264"/>
  <c r="BK264"/>
  <c r="BO9"/>
  <c r="BK9"/>
  <c r="BO53"/>
  <c r="BK53"/>
  <c r="BK67"/>
  <c r="BO67"/>
  <c r="BK63"/>
  <c r="BO63"/>
  <c r="BK76"/>
  <c r="BO76"/>
  <c r="BO94"/>
  <c r="BK94"/>
  <c r="BO151"/>
  <c r="BK151"/>
  <c r="BO147"/>
  <c r="BK147"/>
  <c r="BK50"/>
  <c r="BO50"/>
  <c r="BO179"/>
  <c r="BK179"/>
  <c r="BO184"/>
  <c r="BK184"/>
  <c r="BO188"/>
  <c r="BK188"/>
  <c r="BO192"/>
  <c r="BK192"/>
  <c r="BO247"/>
  <c r="BK247"/>
  <c r="BK251"/>
  <c r="BO251"/>
  <c r="BO255"/>
  <c r="BK255"/>
  <c r="BK259"/>
  <c r="BO259"/>
  <c r="BO263"/>
  <c r="BK263"/>
  <c r="BK54"/>
  <c r="BO54"/>
  <c r="BO51"/>
  <c r="BK51"/>
  <c r="BO185"/>
  <c r="BK185"/>
  <c r="BK52"/>
  <c r="BO52"/>
  <c r="BO135"/>
  <c r="BK135"/>
  <c r="BK148"/>
  <c r="BO148"/>
  <c r="BO157"/>
  <c r="BK157"/>
  <c r="BO170"/>
  <c r="BK170"/>
  <c r="BK187"/>
  <c r="BO187"/>
  <c r="BK191"/>
  <c r="BO191"/>
  <c r="BO205"/>
  <c r="BK205"/>
  <c r="BO238"/>
  <c r="BK238"/>
  <c r="BO242"/>
  <c r="BK242"/>
  <c r="BO250"/>
  <c r="BK250"/>
  <c r="BO254"/>
  <c r="BK254"/>
  <c r="BO262"/>
  <c r="BK262"/>
  <c r="BK128"/>
  <c r="BO128"/>
  <c r="BH132"/>
  <c r="BO66"/>
  <c r="BK66"/>
  <c r="BK146"/>
  <c r="BO146"/>
  <c r="BK240"/>
  <c r="BO240"/>
  <c r="BO64"/>
  <c r="BK64"/>
  <c r="BK89"/>
  <c r="BO89"/>
  <c r="BK105"/>
  <c r="BO105"/>
  <c r="BK153"/>
  <c r="BO153"/>
  <c r="BO144"/>
  <c r="BK144"/>
  <c r="BK183"/>
  <c r="BO183"/>
  <c r="BK60"/>
  <c r="BO60"/>
  <c r="BO65"/>
  <c r="BK65"/>
  <c r="BO78"/>
  <c r="BK78"/>
  <c r="BO88"/>
  <c r="BK88"/>
  <c r="BO116"/>
  <c r="BK116"/>
  <c r="BK154"/>
  <c r="BO154"/>
  <c r="BO149"/>
  <c r="BK149"/>
  <c r="BK145"/>
  <c r="BO145"/>
  <c r="BK159"/>
  <c r="BO159"/>
  <c r="BO169"/>
  <c r="BK169"/>
  <c r="BO186"/>
  <c r="BK186"/>
  <c r="BO241"/>
  <c r="BK241"/>
  <c r="BK245"/>
  <c r="BO245"/>
  <c r="BK249"/>
  <c r="BO249"/>
  <c r="BK253"/>
  <c r="BO253"/>
  <c r="BK257"/>
  <c r="BO257"/>
  <c r="BK261"/>
  <c r="BO261"/>
  <c r="BO297"/>
  <c r="BK297"/>
  <c r="N13" i="37"/>
  <c r="BD309" i="5"/>
  <c r="BD1" s="1"/>
  <c r="Q12" i="38"/>
  <c r="Q15" s="1"/>
  <c r="AV202" i="5"/>
  <c r="AY196"/>
  <c r="AY58"/>
  <c r="BB47"/>
  <c r="BE104"/>
  <c r="BH104" s="1"/>
  <c r="BB182"/>
  <c r="H13" i="38"/>
  <c r="H13" i="37"/>
  <c r="BB11" i="5"/>
  <c r="BB77"/>
  <c r="BB87"/>
  <c r="BB114"/>
  <c r="BB143"/>
  <c r="BE143" s="1"/>
  <c r="BH143" s="1"/>
  <c r="AV301"/>
  <c r="AY296"/>
  <c r="BB296" s="1"/>
  <c r="BE296" s="1"/>
  <c r="BH296" s="1"/>
  <c r="AV141"/>
  <c r="AY137"/>
  <c r="BB137" s="1"/>
  <c r="BE137" s="1"/>
  <c r="BH137" s="1"/>
  <c r="AY237"/>
  <c r="BB215"/>
  <c r="BB239"/>
  <c r="BB292"/>
  <c r="AU309"/>
  <c r="K12" i="38"/>
  <c r="K12" i="37"/>
  <c r="AX309" i="5"/>
  <c r="AX1" s="1"/>
  <c r="N12" i="38"/>
  <c r="N12" i="37"/>
  <c r="AS291" i="5"/>
  <c r="AV287"/>
  <c r="BA309"/>
  <c r="BA1" s="1"/>
  <c r="BB178"/>
  <c r="BE177"/>
  <c r="AS74"/>
  <c r="AV73"/>
  <c r="AS279"/>
  <c r="AV276"/>
  <c r="AS286"/>
  <c r="AV280"/>
  <c r="BB61"/>
  <c r="BB133"/>
  <c r="BE150"/>
  <c r="BH150" s="1"/>
  <c r="K14" i="36"/>
  <c r="K14" i="38"/>
  <c r="K14" i="37"/>
  <c r="AS46" i="5"/>
  <c r="AV39"/>
  <c r="AY174"/>
  <c r="BB168"/>
  <c r="BB203"/>
  <c r="AS275"/>
  <c r="AV272"/>
  <c r="H14" i="38"/>
  <c r="H14" i="37"/>
  <c r="K13" i="36"/>
  <c r="K13" i="38"/>
  <c r="K13" i="37"/>
  <c r="N14" i="38"/>
  <c r="N14" i="37"/>
  <c r="BG55" i="4"/>
  <c r="BJ55" s="1"/>
  <c r="BD66"/>
  <c r="H8" i="38"/>
  <c r="H8" i="36"/>
  <c r="H8" i="37"/>
  <c r="BG72" i="4"/>
  <c r="BJ72" s="1"/>
  <c r="BD88"/>
  <c r="H7" i="38"/>
  <c r="H7" i="37"/>
  <c r="H7" i="36"/>
  <c r="BA92" i="4"/>
  <c r="BG5"/>
  <c r="BD92"/>
  <c r="H5" i="38"/>
  <c r="H5" i="37"/>
  <c r="H5" i="36"/>
  <c r="BD30" i="4"/>
  <c r="H6" i="38"/>
  <c r="H6" i="36"/>
  <c r="H6" i="37"/>
  <c r="BA66" i="4"/>
  <c r="AZ90"/>
  <c r="AZ1" s="1"/>
  <c r="BA88"/>
  <c r="L23" i="37"/>
  <c r="O20"/>
  <c r="O23" s="1"/>
  <c r="K12" i="36"/>
  <c r="AS38" i="5"/>
  <c r="AV35"/>
  <c r="AS121"/>
  <c r="AV118"/>
  <c r="AV120" s="1"/>
  <c r="AS201"/>
  <c r="AV190"/>
  <c r="H13" i="36"/>
  <c r="AS33" i="5"/>
  <c r="AV29"/>
  <c r="AS71"/>
  <c r="AV68"/>
  <c r="AV70" s="1"/>
  <c r="AS84"/>
  <c r="AV80"/>
  <c r="H14" i="36"/>
  <c r="AS28" i="5"/>
  <c r="AV23"/>
  <c r="AV174"/>
  <c r="AV58"/>
  <c r="AV237"/>
  <c r="AR304"/>
  <c r="AR309" s="1"/>
  <c r="AR1" s="1"/>
  <c r="AS98"/>
  <c r="AV91"/>
  <c r="AV97" s="1"/>
  <c r="AS8"/>
  <c r="AV5"/>
  <c r="AS166"/>
  <c r="AV156"/>
  <c r="AS270"/>
  <c r="AV258"/>
  <c r="AV269" s="1"/>
  <c r="AS207"/>
  <c r="AV204"/>
  <c r="AY204" s="1"/>
  <c r="BB204" s="1"/>
  <c r="BE204" s="1"/>
  <c r="BH204" s="1"/>
  <c r="AS120"/>
  <c r="AS301"/>
  <c r="AS83"/>
  <c r="AS97"/>
  <c r="AS165"/>
  <c r="AS141"/>
  <c r="AS200"/>
  <c r="AS237"/>
  <c r="AS70"/>
  <c r="AS174"/>
  <c r="AS202"/>
  <c r="AS269"/>
  <c r="AS58"/>
  <c r="BA30" i="4"/>
  <c r="CS305" i="5" l="1"/>
  <c r="CY100"/>
  <c r="CY103" s="1"/>
  <c r="CV103"/>
  <c r="CV8"/>
  <c r="CY5"/>
  <c r="CS38"/>
  <c r="CV35"/>
  <c r="CS70"/>
  <c r="CV63"/>
  <c r="CS291"/>
  <c r="CV287"/>
  <c r="CS131"/>
  <c r="CV126"/>
  <c r="CS174"/>
  <c r="CV168"/>
  <c r="CS207"/>
  <c r="CV205"/>
  <c r="CV22"/>
  <c r="CY11"/>
  <c r="CY22" s="1"/>
  <c r="CV270"/>
  <c r="CY258"/>
  <c r="CY270" s="1"/>
  <c r="CV84"/>
  <c r="CY80"/>
  <c r="CY84" s="1"/>
  <c r="CV279"/>
  <c r="CY276"/>
  <c r="CY279" s="1"/>
  <c r="CY123"/>
  <c r="CY124" s="1"/>
  <c r="CV124"/>
  <c r="CV98"/>
  <c r="CY91"/>
  <c r="CY98" s="1"/>
  <c r="CV33"/>
  <c r="CY29"/>
  <c r="CY33" s="1"/>
  <c r="CY68"/>
  <c r="CY71" s="1"/>
  <c r="CV71"/>
  <c r="CS167"/>
  <c r="CV160"/>
  <c r="CS113"/>
  <c r="CV109"/>
  <c r="CS176"/>
  <c r="CV175"/>
  <c r="CS125"/>
  <c r="CV122"/>
  <c r="CS74"/>
  <c r="CV73"/>
  <c r="CS102"/>
  <c r="CV99"/>
  <c r="CY118"/>
  <c r="CY121" s="1"/>
  <c r="CV121"/>
  <c r="CY280"/>
  <c r="CY286" s="1"/>
  <c r="CV286"/>
  <c r="CV46"/>
  <c r="CY39"/>
  <c r="CY46" s="1"/>
  <c r="CY272"/>
  <c r="CY275" s="1"/>
  <c r="CV275"/>
  <c r="CY23"/>
  <c r="CY28" s="1"/>
  <c r="CV28"/>
  <c r="CK23" i="4"/>
  <c r="CH30"/>
  <c r="CP97" i="5"/>
  <c r="CS87"/>
  <c r="CP120"/>
  <c r="CS116"/>
  <c r="CP83"/>
  <c r="CS78"/>
  <c r="CV78" s="1"/>
  <c r="CM269"/>
  <c r="CP241"/>
  <c r="CJ304"/>
  <c r="CJ309" s="1"/>
  <c r="CJ1"/>
  <c r="BI90" i="4"/>
  <c r="BI1" s="1"/>
  <c r="Q8" i="38"/>
  <c r="Q9" s="1"/>
  <c r="Q17" s="1"/>
  <c r="Q21" s="1"/>
  <c r="Q23" s="1"/>
  <c r="Q25" s="1"/>
  <c r="BJ22" i="4"/>
  <c r="BM22" s="1"/>
  <c r="BM72"/>
  <c r="BJ88"/>
  <c r="R6" i="38" s="1"/>
  <c r="BG92" i="4"/>
  <c r="BJ5"/>
  <c r="AY141" i="5"/>
  <c r="BK150"/>
  <c r="BO150"/>
  <c r="BO204"/>
  <c r="BK204"/>
  <c r="BO137"/>
  <c r="BK137"/>
  <c r="BK143"/>
  <c r="BO143"/>
  <c r="BK132"/>
  <c r="BO132"/>
  <c r="BK296"/>
  <c r="BO296"/>
  <c r="BE178"/>
  <c r="BH177"/>
  <c r="N15" i="37"/>
  <c r="H9"/>
  <c r="N15" i="38"/>
  <c r="N25" s="1"/>
  <c r="K15"/>
  <c r="K25" s="1"/>
  <c r="AV166" i="5"/>
  <c r="AY156"/>
  <c r="AY272"/>
  <c r="AV275"/>
  <c r="BB174"/>
  <c r="BE168"/>
  <c r="BB301"/>
  <c r="BE292"/>
  <c r="BB237"/>
  <c r="BE215"/>
  <c r="BE114"/>
  <c r="BH114" s="1"/>
  <c r="BE77"/>
  <c r="BH77" s="1"/>
  <c r="AY202"/>
  <c r="BB196"/>
  <c r="H12" i="38"/>
  <c r="H15" s="1"/>
  <c r="H12" i="37"/>
  <c r="H15" s="1"/>
  <c r="AV28" i="5"/>
  <c r="AY23"/>
  <c r="AV84"/>
  <c r="AY80"/>
  <c r="AV33"/>
  <c r="AY29"/>
  <c r="AV201"/>
  <c r="AY190"/>
  <c r="AV38"/>
  <c r="AY35"/>
  <c r="BE61"/>
  <c r="BH61" s="1"/>
  <c r="AV270"/>
  <c r="AY258"/>
  <c r="BB207"/>
  <c r="BE203"/>
  <c r="AY39"/>
  <c r="AV46"/>
  <c r="AY73"/>
  <c r="AV74"/>
  <c r="K17" i="38"/>
  <c r="BE239" i="5"/>
  <c r="BH239" s="1"/>
  <c r="BE87"/>
  <c r="BH87" s="1"/>
  <c r="BE11"/>
  <c r="BH11" s="1"/>
  <c r="BE182"/>
  <c r="BH182" s="1"/>
  <c r="BE47"/>
  <c r="BB58"/>
  <c r="AV98"/>
  <c r="AY91"/>
  <c r="AV71"/>
  <c r="AY68"/>
  <c r="AV121"/>
  <c r="AY118"/>
  <c r="BB141"/>
  <c r="BE133"/>
  <c r="AY280"/>
  <c r="AV286"/>
  <c r="AY207"/>
  <c r="AV207"/>
  <c r="K15" i="36"/>
  <c r="K17" s="1"/>
  <c r="K15" i="37"/>
  <c r="AY301" i="5"/>
  <c r="AV279"/>
  <c r="AY276"/>
  <c r="AY287"/>
  <c r="AV291"/>
  <c r="AV8"/>
  <c r="AY5"/>
  <c r="BG88" i="4"/>
  <c r="L7" i="36"/>
  <c r="L7" i="37"/>
  <c r="L7" i="38"/>
  <c r="I7"/>
  <c r="I7" i="37"/>
  <c r="I7" i="36"/>
  <c r="L6"/>
  <c r="L6" i="38"/>
  <c r="L6" i="37"/>
  <c r="L8"/>
  <c r="L8" i="36"/>
  <c r="L8" i="38"/>
  <c r="BG30" i="4"/>
  <c r="BG66"/>
  <c r="BJ66"/>
  <c r="H9" i="38"/>
  <c r="I6" i="36"/>
  <c r="I6" i="38"/>
  <c r="I6" i="37"/>
  <c r="I8" i="38"/>
  <c r="I8" i="37"/>
  <c r="I8" i="36"/>
  <c r="H9"/>
  <c r="H12"/>
  <c r="H15" s="1"/>
  <c r="AV165" i="5"/>
  <c r="AV83"/>
  <c r="AV200"/>
  <c r="AK138"/>
  <c r="AK17"/>
  <c r="AS17" s="1"/>
  <c r="AK160"/>
  <c r="AK108"/>
  <c r="AK10"/>
  <c r="AS10" s="1"/>
  <c r="BJ30" i="4" l="1"/>
  <c r="BM30" s="1"/>
  <c r="CY305" i="5"/>
  <c r="CS97"/>
  <c r="CV87"/>
  <c r="CV102"/>
  <c r="CY99"/>
  <c r="CY102" s="1"/>
  <c r="CV125"/>
  <c r="CY122"/>
  <c r="CY125" s="1"/>
  <c r="CV113"/>
  <c r="CY109"/>
  <c r="CY113" s="1"/>
  <c r="CY205"/>
  <c r="CY207" s="1"/>
  <c r="CV207"/>
  <c r="CV131"/>
  <c r="CY126"/>
  <c r="CY131" s="1"/>
  <c r="CY63"/>
  <c r="CY70" s="1"/>
  <c r="CV70"/>
  <c r="CY8"/>
  <c r="CV305"/>
  <c r="CY78"/>
  <c r="CY83" s="1"/>
  <c r="CV83"/>
  <c r="CS120"/>
  <c r="CV116"/>
  <c r="CS307"/>
  <c r="CV74"/>
  <c r="CY73"/>
  <c r="CY74" s="1"/>
  <c r="CY175"/>
  <c r="CY176" s="1"/>
  <c r="CV176"/>
  <c r="CY160"/>
  <c r="CY167" s="1"/>
  <c r="CV167"/>
  <c r="CV174"/>
  <c r="CY168"/>
  <c r="CY174" s="1"/>
  <c r="CV291"/>
  <c r="CY287"/>
  <c r="CY291" s="1"/>
  <c r="CY35"/>
  <c r="CY38" s="1"/>
  <c r="CV38"/>
  <c r="CN23" i="4"/>
  <c r="CN30" s="1"/>
  <c r="CK30"/>
  <c r="CK90" s="1"/>
  <c r="CK1" s="1"/>
  <c r="CH90"/>
  <c r="CH1" s="1"/>
  <c r="CP269" i="5"/>
  <c r="CS241"/>
  <c r="CS83"/>
  <c r="CM304"/>
  <c r="CM309" s="1"/>
  <c r="CM1"/>
  <c r="R8" i="38"/>
  <c r="R7"/>
  <c r="D7" i="33"/>
  <c r="BM66" i="4"/>
  <c r="H17" i="37"/>
  <c r="D6" i="33"/>
  <c r="BM88" i="4"/>
  <c r="BM5"/>
  <c r="BJ92"/>
  <c r="BM92" s="1"/>
  <c r="BO239" i="5"/>
  <c r="BK87"/>
  <c r="BO87"/>
  <c r="BO61"/>
  <c r="BK61"/>
  <c r="BO182"/>
  <c r="BK182"/>
  <c r="BO77"/>
  <c r="BK77"/>
  <c r="BH178"/>
  <c r="BK177"/>
  <c r="BO177"/>
  <c r="BE141"/>
  <c r="BH133"/>
  <c r="BE207"/>
  <c r="BH203"/>
  <c r="BE301"/>
  <c r="BH292"/>
  <c r="BE58"/>
  <c r="BH47"/>
  <c r="BE237"/>
  <c r="BH215"/>
  <c r="BE174"/>
  <c r="BH168"/>
  <c r="H25" i="37"/>
  <c r="N17"/>
  <c r="N25"/>
  <c r="N17" i="38"/>
  <c r="AY286" i="5"/>
  <c r="BB280"/>
  <c r="AY46"/>
  <c r="BB39"/>
  <c r="AY8"/>
  <c r="BB5"/>
  <c r="AY279"/>
  <c r="BB276"/>
  <c r="AY121"/>
  <c r="BB118"/>
  <c r="AY120"/>
  <c r="AY98"/>
  <c r="BB91"/>
  <c r="AY97"/>
  <c r="AY270"/>
  <c r="BB258"/>
  <c r="AY269"/>
  <c r="AY201"/>
  <c r="BB190"/>
  <c r="AY200"/>
  <c r="AY84"/>
  <c r="BB80"/>
  <c r="AY83"/>
  <c r="AY166"/>
  <c r="BB156"/>
  <c r="AY165"/>
  <c r="AY291"/>
  <c r="BB287"/>
  <c r="K25" i="37"/>
  <c r="K17"/>
  <c r="AY74" i="5"/>
  <c r="BB73"/>
  <c r="BB272"/>
  <c r="AY275"/>
  <c r="AY71"/>
  <c r="BB68"/>
  <c r="AY70"/>
  <c r="AY38"/>
  <c r="BB35"/>
  <c r="BB29"/>
  <c r="AY33"/>
  <c r="BB23"/>
  <c r="AY28"/>
  <c r="BB202"/>
  <c r="BE196"/>
  <c r="K25" i="36"/>
  <c r="O6" i="38"/>
  <c r="O6" i="37"/>
  <c r="O7"/>
  <c r="O7" i="38"/>
  <c r="H25" i="36"/>
  <c r="H25" i="38"/>
  <c r="H17"/>
  <c r="O8"/>
  <c r="O8" i="37"/>
  <c r="AS21" i="5"/>
  <c r="AV10"/>
  <c r="AY10" s="1"/>
  <c r="AS20"/>
  <c r="AV17"/>
  <c r="AS22"/>
  <c r="H17" i="36"/>
  <c r="AK111" i="5"/>
  <c r="AK112"/>
  <c r="AS108"/>
  <c r="AK20"/>
  <c r="AK167"/>
  <c r="AS160"/>
  <c r="AK142"/>
  <c r="AS138"/>
  <c r="AN88" i="4"/>
  <c r="AP72"/>
  <c r="AO72"/>
  <c r="AP64"/>
  <c r="AO64"/>
  <c r="AP62"/>
  <c r="AP61"/>
  <c r="AO61"/>
  <c r="AP60"/>
  <c r="AP59"/>
  <c r="AO59"/>
  <c r="AP58"/>
  <c r="AO58"/>
  <c r="AP57"/>
  <c r="AO57"/>
  <c r="AP45"/>
  <c r="AO45"/>
  <c r="AP36"/>
  <c r="AO36"/>
  <c r="AP32"/>
  <c r="AO32"/>
  <c r="AP23"/>
  <c r="AO23"/>
  <c r="AO6"/>
  <c r="AP6"/>
  <c r="AO7"/>
  <c r="AP7"/>
  <c r="AO8"/>
  <c r="AP8"/>
  <c r="AO9"/>
  <c r="AP9"/>
  <c r="AO10"/>
  <c r="AP10"/>
  <c r="AP11"/>
  <c r="AO12"/>
  <c r="AP12"/>
  <c r="AO13"/>
  <c r="AP13"/>
  <c r="AO15"/>
  <c r="AP15"/>
  <c r="AO16"/>
  <c r="AP16"/>
  <c r="AO19"/>
  <c r="AP19"/>
  <c r="AP5"/>
  <c r="AO5"/>
  <c r="AH92"/>
  <c r="AN92"/>
  <c r="L92"/>
  <c r="CN90" l="1"/>
  <c r="CN1" s="1"/>
  <c r="D8" i="14"/>
  <c r="D8" i="33" s="1"/>
  <c r="CY116" i="5"/>
  <c r="CY120" s="1"/>
  <c r="CV120"/>
  <c r="CY87"/>
  <c r="CY97" s="1"/>
  <c r="CV97"/>
  <c r="CY307"/>
  <c r="D13" i="14" s="1"/>
  <c r="CS269" i="5"/>
  <c r="CS1" s="1"/>
  <c r="CV241"/>
  <c r="CV307"/>
  <c r="CP304"/>
  <c r="CP309" s="1"/>
  <c r="CP1"/>
  <c r="C6" i="33"/>
  <c r="AO92" i="4"/>
  <c r="BH237" i="5"/>
  <c r="BK215"/>
  <c r="BH141"/>
  <c r="BO133"/>
  <c r="BK133"/>
  <c r="BO178"/>
  <c r="BK178"/>
  <c r="BH301"/>
  <c r="BO292"/>
  <c r="BK292"/>
  <c r="BO168"/>
  <c r="BH174"/>
  <c r="BK168"/>
  <c r="BH58"/>
  <c r="BO47"/>
  <c r="BK47"/>
  <c r="BH207"/>
  <c r="BO203"/>
  <c r="BK203"/>
  <c r="BE202"/>
  <c r="BH196"/>
  <c r="BB33"/>
  <c r="BE29"/>
  <c r="BB71"/>
  <c r="BE68"/>
  <c r="BH68" s="1"/>
  <c r="BB70"/>
  <c r="BB74"/>
  <c r="BE73"/>
  <c r="BB291"/>
  <c r="BE287"/>
  <c r="BB270"/>
  <c r="BE258"/>
  <c r="BH258" s="1"/>
  <c r="BB269"/>
  <c r="BB279"/>
  <c r="BE276"/>
  <c r="BE39"/>
  <c r="BB46"/>
  <c r="AV22"/>
  <c r="AY17"/>
  <c r="BE272"/>
  <c r="BB275"/>
  <c r="BB166"/>
  <c r="BE156"/>
  <c r="BH156" s="1"/>
  <c r="BB165"/>
  <c r="BB98"/>
  <c r="BE91"/>
  <c r="BH91" s="1"/>
  <c r="BB97"/>
  <c r="BB28"/>
  <c r="BE23"/>
  <c r="BE80"/>
  <c r="BH80" s="1"/>
  <c r="BB84"/>
  <c r="BB83"/>
  <c r="BB121"/>
  <c r="BE118"/>
  <c r="BH118" s="1"/>
  <c r="BB120"/>
  <c r="BB8"/>
  <c r="BE5"/>
  <c r="BH5" s="1"/>
  <c r="BB286"/>
  <c r="BE280"/>
  <c r="AY20"/>
  <c r="BB10"/>
  <c r="AY21"/>
  <c r="BB38"/>
  <c r="BE35"/>
  <c r="BB201"/>
  <c r="BE190"/>
  <c r="BH190" s="1"/>
  <c r="BB200"/>
  <c r="F6" i="37"/>
  <c r="F6" i="38"/>
  <c r="F6" i="36"/>
  <c r="AS112" i="5"/>
  <c r="AS305" s="1"/>
  <c r="AV108"/>
  <c r="AY108" s="1"/>
  <c r="AS111"/>
  <c r="AS304" s="1"/>
  <c r="AV21"/>
  <c r="AV20"/>
  <c r="AS167"/>
  <c r="AV160"/>
  <c r="AS142"/>
  <c r="AV138"/>
  <c r="AP92" i="4"/>
  <c r="AP55"/>
  <c r="AP54"/>
  <c r="AP27"/>
  <c r="AP26"/>
  <c r="AP25"/>
  <c r="AP24"/>
  <c r="AP22"/>
  <c r="AH88"/>
  <c r="AH66"/>
  <c r="AQ32"/>
  <c r="CY241" i="5" l="1"/>
  <c r="CY269" s="1"/>
  <c r="CY304" s="1"/>
  <c r="CV269"/>
  <c r="CS304"/>
  <c r="BH166"/>
  <c r="BO156"/>
  <c r="BK156"/>
  <c r="BH165"/>
  <c r="BK141"/>
  <c r="BO141"/>
  <c r="BH270"/>
  <c r="BO258"/>
  <c r="BK258"/>
  <c r="BH269"/>
  <c r="BO68"/>
  <c r="BK68"/>
  <c r="BH70"/>
  <c r="BH202"/>
  <c r="BO196"/>
  <c r="BK207"/>
  <c r="BO207"/>
  <c r="BO237"/>
  <c r="BK237"/>
  <c r="BH201"/>
  <c r="BO190"/>
  <c r="BK190"/>
  <c r="BH200"/>
  <c r="BH121"/>
  <c r="BK118"/>
  <c r="BO118"/>
  <c r="BH120"/>
  <c r="BH84"/>
  <c r="BO80"/>
  <c r="BK80"/>
  <c r="BH83"/>
  <c r="BH98"/>
  <c r="BO91"/>
  <c r="BK91"/>
  <c r="BH97"/>
  <c r="BK58"/>
  <c r="BO58"/>
  <c r="BO174"/>
  <c r="BK174"/>
  <c r="BK301"/>
  <c r="BO301"/>
  <c r="BE8"/>
  <c r="BE28"/>
  <c r="BH23"/>
  <c r="BH71"/>
  <c r="BE291"/>
  <c r="BH287"/>
  <c r="BE286"/>
  <c r="BH280"/>
  <c r="BE279"/>
  <c r="BH276"/>
  <c r="BE33"/>
  <c r="BH29"/>
  <c r="BE38"/>
  <c r="BH35"/>
  <c r="BE275"/>
  <c r="BH272"/>
  <c r="BE46"/>
  <c r="BH39"/>
  <c r="BE74"/>
  <c r="BH73"/>
  <c r="I12" i="37"/>
  <c r="I12" i="38"/>
  <c r="BB20" i="5"/>
  <c r="BE10"/>
  <c r="BH10" s="1"/>
  <c r="BB21"/>
  <c r="BE71"/>
  <c r="BE70"/>
  <c r="BE201"/>
  <c r="BE200"/>
  <c r="BE121"/>
  <c r="BE120"/>
  <c r="BE84"/>
  <c r="BE83"/>
  <c r="BE98"/>
  <c r="BE97"/>
  <c r="I13" i="38"/>
  <c r="I13" i="37"/>
  <c r="BE166" i="5"/>
  <c r="BE165"/>
  <c r="BB17"/>
  <c r="AY22"/>
  <c r="AY112"/>
  <c r="AY305" s="1"/>
  <c r="BB108"/>
  <c r="AY111"/>
  <c r="AY304" s="1"/>
  <c r="BE270"/>
  <c r="BE269"/>
  <c r="D6" i="38"/>
  <c r="D6" i="36"/>
  <c r="D6" i="37"/>
  <c r="D7" i="38"/>
  <c r="D7" i="37"/>
  <c r="D7" i="36"/>
  <c r="AV142" i="5"/>
  <c r="AY138"/>
  <c r="AV167"/>
  <c r="AY160"/>
  <c r="I13" i="36"/>
  <c r="I12"/>
  <c r="AV112" i="5"/>
  <c r="AV305" s="1"/>
  <c r="AV111"/>
  <c r="AV304" s="1"/>
  <c r="AS307"/>
  <c r="AP88" i="4"/>
  <c r="AN14"/>
  <c r="CY309" i="5" l="1"/>
  <c r="D12" i="14"/>
  <c r="CY1" i="5"/>
  <c r="CS309"/>
  <c r="CV304"/>
  <c r="CV309" s="1"/>
  <c r="CV1"/>
  <c r="BA14" i="4"/>
  <c r="AP14"/>
  <c r="AO14"/>
  <c r="BH21" i="5"/>
  <c r="BO10"/>
  <c r="BK10"/>
  <c r="BH20"/>
  <c r="BH74"/>
  <c r="BO73"/>
  <c r="BK73"/>
  <c r="BH275"/>
  <c r="BO272"/>
  <c r="BK272"/>
  <c r="BH33"/>
  <c r="BK29"/>
  <c r="BO29"/>
  <c r="BH286"/>
  <c r="BK280"/>
  <c r="BO280"/>
  <c r="BK71"/>
  <c r="BO71"/>
  <c r="BK97"/>
  <c r="BO97"/>
  <c r="BK83"/>
  <c r="BO83"/>
  <c r="BK120"/>
  <c r="BO120"/>
  <c r="BK200"/>
  <c r="BO200"/>
  <c r="BK270"/>
  <c r="BO270"/>
  <c r="BH8"/>
  <c r="BK5"/>
  <c r="BO5"/>
  <c r="BK98"/>
  <c r="BO98"/>
  <c r="BK84"/>
  <c r="BO84"/>
  <c r="BO121"/>
  <c r="BK121"/>
  <c r="BO201"/>
  <c r="BK201"/>
  <c r="BO165"/>
  <c r="BK165"/>
  <c r="BH46"/>
  <c r="BO39"/>
  <c r="BK39"/>
  <c r="BH38"/>
  <c r="BK35"/>
  <c r="BO35"/>
  <c r="BH279"/>
  <c r="BO276"/>
  <c r="BK276"/>
  <c r="BH291"/>
  <c r="BO287"/>
  <c r="BK287"/>
  <c r="BK70"/>
  <c r="BO70"/>
  <c r="BO166"/>
  <c r="BK166"/>
  <c r="BH28"/>
  <c r="BO23"/>
  <c r="BK202"/>
  <c r="BO202"/>
  <c r="BO269"/>
  <c r="BK269"/>
  <c r="AV307"/>
  <c r="L14" i="37" s="1"/>
  <c r="L12" i="36"/>
  <c r="L12" i="37"/>
  <c r="L12" i="38"/>
  <c r="L13" i="36"/>
  <c r="L13" i="37"/>
  <c r="L13" i="38"/>
  <c r="I14" i="37"/>
  <c r="I15" s="1"/>
  <c r="I14" i="38"/>
  <c r="I15" s="1"/>
  <c r="O12"/>
  <c r="O12" i="37"/>
  <c r="BE17" i="5"/>
  <c r="BB22"/>
  <c r="BB112"/>
  <c r="BB305" s="1"/>
  <c r="BE108"/>
  <c r="BH108" s="1"/>
  <c r="BB111"/>
  <c r="BB304" s="1"/>
  <c r="O13" i="37"/>
  <c r="O13" i="38"/>
  <c r="BE20" i="5"/>
  <c r="BE21"/>
  <c r="AY142"/>
  <c r="BB138"/>
  <c r="AY167"/>
  <c r="BB160"/>
  <c r="I14" i="36"/>
  <c r="I15" s="1"/>
  <c r="AS309" i="5"/>
  <c r="AS1" s="1"/>
  <c r="AL271"/>
  <c r="AK98"/>
  <c r="AK97"/>
  <c r="AK84"/>
  <c r="AK83"/>
  <c r="AK74"/>
  <c r="AK71"/>
  <c r="AK70"/>
  <c r="AK58"/>
  <c r="AK46"/>
  <c r="AK38"/>
  <c r="AK33"/>
  <c r="AK28"/>
  <c r="AK22"/>
  <c r="AK307" s="1"/>
  <c r="AK21"/>
  <c r="AK8"/>
  <c r="AN66" i="4"/>
  <c r="AN30"/>
  <c r="AN20"/>
  <c r="C7" i="33" l="1"/>
  <c r="G7" s="1"/>
  <c r="C8"/>
  <c r="BD14" i="4"/>
  <c r="BA20"/>
  <c r="C5" i="33"/>
  <c r="F14" i="38"/>
  <c r="C14" i="33"/>
  <c r="BK38" i="5"/>
  <c r="BO38"/>
  <c r="BK8"/>
  <c r="BO8"/>
  <c r="BO74"/>
  <c r="BK74"/>
  <c r="BK21"/>
  <c r="BO21"/>
  <c r="BO28"/>
  <c r="BK28"/>
  <c r="BO46"/>
  <c r="BK46"/>
  <c r="BK286"/>
  <c r="BO286"/>
  <c r="BK108"/>
  <c r="BO108"/>
  <c r="BH111"/>
  <c r="BH304" s="1"/>
  <c r="BO291"/>
  <c r="BK291"/>
  <c r="BK33"/>
  <c r="BO33"/>
  <c r="BO279"/>
  <c r="BK279"/>
  <c r="BO275"/>
  <c r="BK275"/>
  <c r="BK20"/>
  <c r="BO20"/>
  <c r="BH112"/>
  <c r="BH305" s="1"/>
  <c r="BE22"/>
  <c r="BH17"/>
  <c r="L14" i="36"/>
  <c r="L15" s="1"/>
  <c r="L14" i="38"/>
  <c r="L15" s="1"/>
  <c r="AV309" i="5"/>
  <c r="AV1" s="1"/>
  <c r="L15" i="37"/>
  <c r="AY307" i="5"/>
  <c r="O14" i="38" s="1"/>
  <c r="O15" s="1"/>
  <c r="BE112" i="5"/>
  <c r="BE305" s="1"/>
  <c r="R13" i="38" s="1"/>
  <c r="BE111" i="5"/>
  <c r="BE304" s="1"/>
  <c r="R12" i="38" s="1"/>
  <c r="BB167" i="5"/>
  <c r="BE160"/>
  <c r="BB142"/>
  <c r="BE138"/>
  <c r="F7" i="37"/>
  <c r="F7" i="36"/>
  <c r="F7" i="38"/>
  <c r="AP66" i="4"/>
  <c r="F8" i="37"/>
  <c r="F8" i="38"/>
  <c r="F8" i="36"/>
  <c r="F5" i="37"/>
  <c r="F5" i="38"/>
  <c r="F5" i="36"/>
  <c r="F14"/>
  <c r="F14" i="37"/>
  <c r="AK305" i="5"/>
  <c r="AK304"/>
  <c r="AL174"/>
  <c r="AN90" i="4"/>
  <c r="AI195" i="5"/>
  <c r="AI197"/>
  <c r="AI194"/>
  <c r="AH131"/>
  <c r="AN131" s="1"/>
  <c r="AH102"/>
  <c r="AN102" s="1"/>
  <c r="AI297"/>
  <c r="AI296"/>
  <c r="AI292"/>
  <c r="AI288"/>
  <c r="AI287"/>
  <c r="AI280"/>
  <c r="AH279"/>
  <c r="AH275"/>
  <c r="AH271"/>
  <c r="AN271" s="1"/>
  <c r="AI264"/>
  <c r="AI265"/>
  <c r="AI267"/>
  <c r="AI263"/>
  <c r="AI258"/>
  <c r="AI259"/>
  <c r="AI260"/>
  <c r="AI261"/>
  <c r="AI255"/>
  <c r="AI256"/>
  <c r="AI257"/>
  <c r="AC255"/>
  <c r="AB255"/>
  <c r="U255"/>
  <c r="T255"/>
  <c r="N255"/>
  <c r="M255"/>
  <c r="AI240"/>
  <c r="AI241"/>
  <c r="AI242"/>
  <c r="AI244"/>
  <c r="AI246"/>
  <c r="AI247"/>
  <c r="AI248"/>
  <c r="AI249"/>
  <c r="AI250"/>
  <c r="AI251"/>
  <c r="AI252"/>
  <c r="AI253"/>
  <c r="AI254"/>
  <c r="AI226"/>
  <c r="AI227"/>
  <c r="AI228"/>
  <c r="AI229"/>
  <c r="AI230"/>
  <c r="AI225"/>
  <c r="AI224"/>
  <c r="AI204"/>
  <c r="AI205"/>
  <c r="AI203"/>
  <c r="AI180"/>
  <c r="AI182"/>
  <c r="AI183"/>
  <c r="AI184"/>
  <c r="AI185"/>
  <c r="AI186"/>
  <c r="AI187"/>
  <c r="AI189"/>
  <c r="AH201"/>
  <c r="AN201" s="1"/>
  <c r="AI192"/>
  <c r="AI171"/>
  <c r="AI169"/>
  <c r="AI144"/>
  <c r="AI145"/>
  <c r="AI146"/>
  <c r="AI147"/>
  <c r="AI148"/>
  <c r="AI149"/>
  <c r="AI150"/>
  <c r="AI151"/>
  <c r="AI153"/>
  <c r="AI154"/>
  <c r="AI155"/>
  <c r="AH166"/>
  <c r="AN166" s="1"/>
  <c r="AI157"/>
  <c r="AI159"/>
  <c r="AH167"/>
  <c r="AN167" s="1"/>
  <c r="AH142"/>
  <c r="AN142" s="1"/>
  <c r="AI137"/>
  <c r="AI135"/>
  <c r="AI133"/>
  <c r="AH132"/>
  <c r="AN132" s="1"/>
  <c r="AI117"/>
  <c r="AI118"/>
  <c r="AI116"/>
  <c r="AH113"/>
  <c r="AI108"/>
  <c r="AI105"/>
  <c r="AI104"/>
  <c r="AH103"/>
  <c r="AI87"/>
  <c r="AI88"/>
  <c r="AI89"/>
  <c r="AH98"/>
  <c r="AI92"/>
  <c r="AI93"/>
  <c r="AI94"/>
  <c r="AH84"/>
  <c r="AI77"/>
  <c r="AI78"/>
  <c r="AI76"/>
  <c r="AI73"/>
  <c r="AI52"/>
  <c r="AI53"/>
  <c r="AI54"/>
  <c r="AI47"/>
  <c r="AI68"/>
  <c r="AI66"/>
  <c r="AI62"/>
  <c r="AI63"/>
  <c r="AI64"/>
  <c r="AI65"/>
  <c r="AI61"/>
  <c r="AH46"/>
  <c r="AI35"/>
  <c r="AH33"/>
  <c r="AH28"/>
  <c r="AN28" s="1"/>
  <c r="AI17"/>
  <c r="AI16"/>
  <c r="AI11"/>
  <c r="AI10"/>
  <c r="AE8"/>
  <c r="AM8" s="1"/>
  <c r="AI5"/>
  <c r="AQ72" i="4"/>
  <c r="AQ58"/>
  <c r="AQ59"/>
  <c r="AQ60"/>
  <c r="AQ61"/>
  <c r="AQ62"/>
  <c r="AQ64"/>
  <c r="AQ57"/>
  <c r="AQ54"/>
  <c r="AQ45"/>
  <c r="AQ36"/>
  <c r="AQ18"/>
  <c r="AQ23"/>
  <c r="AQ24"/>
  <c r="AQ25"/>
  <c r="AQ26"/>
  <c r="AQ27"/>
  <c r="AQ22"/>
  <c r="AQ19"/>
  <c r="AQ6"/>
  <c r="AQ7"/>
  <c r="AQ8"/>
  <c r="AQ9"/>
  <c r="AQ10"/>
  <c r="AQ11"/>
  <c r="AQ14"/>
  <c r="AQ12"/>
  <c r="AQ13"/>
  <c r="AQ15"/>
  <c r="AQ16"/>
  <c r="AJ54"/>
  <c r="AH30"/>
  <c r="AP30" s="1"/>
  <c r="AH20"/>
  <c r="AJ19"/>
  <c r="AJ16"/>
  <c r="AJ15"/>
  <c r="AJ11"/>
  <c r="AJ10"/>
  <c r="AJ9"/>
  <c r="AJ8"/>
  <c r="AJ7"/>
  <c r="AJ6"/>
  <c r="AJ5"/>
  <c r="AF244" i="5"/>
  <c r="AF171"/>
  <c r="AE174"/>
  <c r="AM174" s="1"/>
  <c r="AF157"/>
  <c r="AF53"/>
  <c r="AF54" i="4"/>
  <c r="AF64" i="5"/>
  <c r="AF68"/>
  <c r="AF77"/>
  <c r="AF80"/>
  <c r="AF87"/>
  <c r="AF118"/>
  <c r="AF154"/>
  <c r="AF184"/>
  <c r="AF190"/>
  <c r="AF204"/>
  <c r="AF240"/>
  <c r="AF241"/>
  <c r="AF246"/>
  <c r="AF249"/>
  <c r="AF250"/>
  <c r="AF252"/>
  <c r="AF272"/>
  <c r="AF288"/>
  <c r="AE301"/>
  <c r="AM301" s="1"/>
  <c r="AE291"/>
  <c r="AM291" s="1"/>
  <c r="AE286"/>
  <c r="AM286" s="1"/>
  <c r="AE279"/>
  <c r="AM279" s="1"/>
  <c r="AE275"/>
  <c r="AM275" s="1"/>
  <c r="AE271"/>
  <c r="AM271" s="1"/>
  <c r="AE270"/>
  <c r="AM270" s="1"/>
  <c r="AE269"/>
  <c r="AM269" s="1"/>
  <c r="AE237"/>
  <c r="AM237" s="1"/>
  <c r="AE207"/>
  <c r="AM207" s="1"/>
  <c r="AE202"/>
  <c r="AM202" s="1"/>
  <c r="AE201"/>
  <c r="AM201" s="1"/>
  <c r="AE200"/>
  <c r="AM200" s="1"/>
  <c r="AE167"/>
  <c r="AM167" s="1"/>
  <c r="AE166"/>
  <c r="AM166" s="1"/>
  <c r="AE165"/>
  <c r="AM165" s="1"/>
  <c r="AE142"/>
  <c r="AM142" s="1"/>
  <c r="AE141"/>
  <c r="AM141" s="1"/>
  <c r="AE132"/>
  <c r="AM132" s="1"/>
  <c r="AE131"/>
  <c r="AM131" s="1"/>
  <c r="AE121"/>
  <c r="AM121" s="1"/>
  <c r="AE120"/>
  <c r="AM120" s="1"/>
  <c r="AE113"/>
  <c r="AM113" s="1"/>
  <c r="AE112"/>
  <c r="AM112" s="1"/>
  <c r="AE111"/>
  <c r="AM111" s="1"/>
  <c r="AE103"/>
  <c r="AM103" s="1"/>
  <c r="AE102"/>
  <c r="AM102" s="1"/>
  <c r="AE98"/>
  <c r="AM98" s="1"/>
  <c r="AE97"/>
  <c r="AM97" s="1"/>
  <c r="AE84"/>
  <c r="AM84" s="1"/>
  <c r="AE83"/>
  <c r="AM83" s="1"/>
  <c r="AE74"/>
  <c r="AM74" s="1"/>
  <c r="AE71"/>
  <c r="AM71" s="1"/>
  <c r="AE70"/>
  <c r="AM70" s="1"/>
  <c r="AE58"/>
  <c r="AM58" s="1"/>
  <c r="AE46"/>
  <c r="AM46" s="1"/>
  <c r="AE38"/>
  <c r="AM38" s="1"/>
  <c r="AE33"/>
  <c r="AM33" s="1"/>
  <c r="AE28"/>
  <c r="AM28" s="1"/>
  <c r="AE22"/>
  <c r="AM22" s="1"/>
  <c r="AE21"/>
  <c r="AM21" s="1"/>
  <c r="AE20"/>
  <c r="AM20" s="1"/>
  <c r="AF6" i="4"/>
  <c r="AF7"/>
  <c r="AF8"/>
  <c r="AF9"/>
  <c r="AF10"/>
  <c r="AF11"/>
  <c r="AF15"/>
  <c r="AF16"/>
  <c r="AF19"/>
  <c r="AF5"/>
  <c r="AD88"/>
  <c r="AD66"/>
  <c r="AD30"/>
  <c r="AD20"/>
  <c r="AB297" i="5"/>
  <c r="AB296"/>
  <c r="AB292"/>
  <c r="AB287"/>
  <c r="Y286"/>
  <c r="AA286"/>
  <c r="AA279"/>
  <c r="AA275"/>
  <c r="AA269"/>
  <c r="Y269"/>
  <c r="AA237"/>
  <c r="Y237"/>
  <c r="AA207"/>
  <c r="Y207"/>
  <c r="AA200"/>
  <c r="AA174"/>
  <c r="Y165"/>
  <c r="AA165"/>
  <c r="AA141"/>
  <c r="Y141"/>
  <c r="AA131"/>
  <c r="AA120"/>
  <c r="Y120"/>
  <c r="AA111"/>
  <c r="AC109"/>
  <c r="AB109"/>
  <c r="AB108"/>
  <c r="AA112"/>
  <c r="Y111"/>
  <c r="AA103"/>
  <c r="AA102"/>
  <c r="Y102"/>
  <c r="AA97"/>
  <c r="Y97"/>
  <c r="AA83"/>
  <c r="Y83"/>
  <c r="AA74"/>
  <c r="AA58"/>
  <c r="Y58"/>
  <c r="AA46"/>
  <c r="AA38"/>
  <c r="AA33"/>
  <c r="AA28"/>
  <c r="AA20"/>
  <c r="Y20"/>
  <c r="Y21"/>
  <c r="Y22"/>
  <c r="Y84"/>
  <c r="AA8"/>
  <c r="BG14" i="4" l="1"/>
  <c r="BD20"/>
  <c r="I5" i="37"/>
  <c r="I9" s="1"/>
  <c r="I5" i="38"/>
  <c r="I9" s="1"/>
  <c r="I5" i="36"/>
  <c r="I9" s="1"/>
  <c r="BA90" i="4"/>
  <c r="BA1" s="1"/>
  <c r="C13" i="33"/>
  <c r="C12"/>
  <c r="D13"/>
  <c r="BO305" i="5"/>
  <c r="BK305"/>
  <c r="BO17"/>
  <c r="BH22"/>
  <c r="BO112"/>
  <c r="BK112"/>
  <c r="D12" i="33"/>
  <c r="BO304" i="5"/>
  <c r="BK304"/>
  <c r="BK111"/>
  <c r="BO111"/>
  <c r="BE142"/>
  <c r="BH138"/>
  <c r="BE167"/>
  <c r="BH160"/>
  <c r="AY309"/>
  <c r="AY1" s="1"/>
  <c r="O14" i="37"/>
  <c r="O15" s="1"/>
  <c r="AL66" i="4"/>
  <c r="AQ55"/>
  <c r="AQ5"/>
  <c r="AL92"/>
  <c r="AQ92" s="1"/>
  <c r="AL88"/>
  <c r="E6" i="36" s="1"/>
  <c r="F9"/>
  <c r="BB307" i="5"/>
  <c r="BB309" s="1"/>
  <c r="BB1" s="1"/>
  <c r="F12" i="37"/>
  <c r="F15" s="1"/>
  <c r="F12" i="38"/>
  <c r="F15" s="1"/>
  <c r="F13" i="37"/>
  <c r="F13" i="38"/>
  <c r="AD90" i="4"/>
  <c r="D8" i="38"/>
  <c r="D8" i="37"/>
  <c r="D8" i="36"/>
  <c r="D5" i="38"/>
  <c r="D5" i="37"/>
  <c r="D5" i="36"/>
  <c r="H6" i="33"/>
  <c r="F9"/>
  <c r="F9" i="37"/>
  <c r="AP20" i="4"/>
  <c r="F9" i="38"/>
  <c r="F12" i="36"/>
  <c r="F15" s="1"/>
  <c r="F13"/>
  <c r="AI179" i="5"/>
  <c r="AH200"/>
  <c r="F15" i="33"/>
  <c r="AF313" i="5"/>
  <c r="AI271"/>
  <c r="AI102"/>
  <c r="AH174"/>
  <c r="AN174" s="1"/>
  <c r="AH269"/>
  <c r="AI269" s="1"/>
  <c r="AH20"/>
  <c r="AN20" s="1"/>
  <c r="AH70"/>
  <c r="AN70" s="1"/>
  <c r="AH270"/>
  <c r="AH121"/>
  <c r="AN121" s="1"/>
  <c r="AH120"/>
  <c r="AN120" s="1"/>
  <c r="AI39"/>
  <c r="AI91"/>
  <c r="AI276"/>
  <c r="AH22"/>
  <c r="AN22" s="1"/>
  <c r="AI29"/>
  <c r="AI167"/>
  <c r="AH291"/>
  <c r="AN291" s="1"/>
  <c r="AI114"/>
  <c r="AN103"/>
  <c r="AI103"/>
  <c r="AN98"/>
  <c r="AI98"/>
  <c r="AN84"/>
  <c r="AI84"/>
  <c r="AN46"/>
  <c r="AI46"/>
  <c r="AN279"/>
  <c r="AI279"/>
  <c r="AN113"/>
  <c r="AI113"/>
  <c r="AN275"/>
  <c r="AI275"/>
  <c r="AN33"/>
  <c r="AI33"/>
  <c r="AH58"/>
  <c r="AH141"/>
  <c r="AH286"/>
  <c r="AH301"/>
  <c r="AH21"/>
  <c r="AH74"/>
  <c r="AH112"/>
  <c r="AI28"/>
  <c r="AI60"/>
  <c r="AI166"/>
  <c r="AI109"/>
  <c r="AI201"/>
  <c r="AH165"/>
  <c r="AH38"/>
  <c r="AH71"/>
  <c r="AH97"/>
  <c r="AH111"/>
  <c r="AH207"/>
  <c r="AI23"/>
  <c r="AI80"/>
  <c r="AI100"/>
  <c r="AI143"/>
  <c r="AI156"/>
  <c r="AI170"/>
  <c r="AI190"/>
  <c r="AI238"/>
  <c r="AI272"/>
  <c r="AH83"/>
  <c r="AH8"/>
  <c r="AI160"/>
  <c r="AK309"/>
  <c r="AH202"/>
  <c r="AL30" i="4"/>
  <c r="AL20"/>
  <c r="AJ91"/>
  <c r="AH90"/>
  <c r="AF91"/>
  <c r="AE307" i="5"/>
  <c r="AE305"/>
  <c r="AE304"/>
  <c r="AB280"/>
  <c r="AB286" s="1"/>
  <c r="AB276"/>
  <c r="AB279" s="1"/>
  <c r="AB272"/>
  <c r="AB275" s="1"/>
  <c r="AB268"/>
  <c r="AB271" s="1"/>
  <c r="AB267"/>
  <c r="AB265"/>
  <c r="AB264"/>
  <c r="AB263"/>
  <c r="AB262"/>
  <c r="AB261"/>
  <c r="AB260"/>
  <c r="AB259"/>
  <c r="AB258"/>
  <c r="AB270" s="1"/>
  <c r="AB257"/>
  <c r="AB256"/>
  <c r="AB254"/>
  <c r="AB253"/>
  <c r="AB252"/>
  <c r="AB251"/>
  <c r="AB250"/>
  <c r="AB249"/>
  <c r="AB248"/>
  <c r="AB247"/>
  <c r="AB246"/>
  <c r="AB245"/>
  <c r="AB243"/>
  <c r="AB242"/>
  <c r="AB241"/>
  <c r="AB240"/>
  <c r="AB239"/>
  <c r="AB238"/>
  <c r="AB230"/>
  <c r="AB229"/>
  <c r="AB228"/>
  <c r="AB227"/>
  <c r="AB226"/>
  <c r="AB225"/>
  <c r="AB224"/>
  <c r="AB205"/>
  <c r="AB204"/>
  <c r="AB203"/>
  <c r="AB197"/>
  <c r="AB196"/>
  <c r="AB195"/>
  <c r="AB194"/>
  <c r="AB193"/>
  <c r="AB192"/>
  <c r="AB191"/>
  <c r="AB190"/>
  <c r="AB201" s="1"/>
  <c r="AB189"/>
  <c r="AB188"/>
  <c r="AB187"/>
  <c r="AB186"/>
  <c r="AB185"/>
  <c r="AB184"/>
  <c r="AB183"/>
  <c r="AB180"/>
  <c r="AB179"/>
  <c r="AB170"/>
  <c r="AB169"/>
  <c r="AB168"/>
  <c r="AB160"/>
  <c r="AB167" s="1"/>
  <c r="AB159"/>
  <c r="AB156"/>
  <c r="AB166" s="1"/>
  <c r="AB155"/>
  <c r="AB154"/>
  <c r="AB153"/>
  <c r="AB151"/>
  <c r="AB150"/>
  <c r="AB149"/>
  <c r="AB148"/>
  <c r="AB147"/>
  <c r="AB146"/>
  <c r="AB145"/>
  <c r="AB144"/>
  <c r="AB143"/>
  <c r="AB138"/>
  <c r="AB142" s="1"/>
  <c r="AB137"/>
  <c r="AB135"/>
  <c r="AB133"/>
  <c r="AB118"/>
  <c r="AB121" s="1"/>
  <c r="AB117"/>
  <c r="AB116"/>
  <c r="AB115"/>
  <c r="AB114"/>
  <c r="AB105"/>
  <c r="AB104"/>
  <c r="AB100"/>
  <c r="AB103" s="1"/>
  <c r="AB94"/>
  <c r="AB93"/>
  <c r="AB92"/>
  <c r="AB91"/>
  <c r="AB98" s="1"/>
  <c r="AB90"/>
  <c r="AB89"/>
  <c r="AB88"/>
  <c r="AB87"/>
  <c r="AB86"/>
  <c r="AB80"/>
  <c r="AB84" s="1"/>
  <c r="AB78"/>
  <c r="AB77"/>
  <c r="AB76"/>
  <c r="AB73"/>
  <c r="AB74" s="1"/>
  <c r="AB69"/>
  <c r="AB68"/>
  <c r="AB71" s="1"/>
  <c r="AB67"/>
  <c r="AB65"/>
  <c r="AB64"/>
  <c r="AB63"/>
  <c r="AB62"/>
  <c r="AB61"/>
  <c r="AB60"/>
  <c r="AB54"/>
  <c r="AB53"/>
  <c r="AB52"/>
  <c r="AB51"/>
  <c r="AB50"/>
  <c r="AB47"/>
  <c r="AB39"/>
  <c r="AB46" s="1"/>
  <c r="AB35"/>
  <c r="AB38" s="1"/>
  <c r="AB29"/>
  <c r="AB33" s="1"/>
  <c r="AB23"/>
  <c r="AB28" s="1"/>
  <c r="AB17"/>
  <c r="AB16"/>
  <c r="AB15"/>
  <c r="AB14"/>
  <c r="AB11"/>
  <c r="AB10"/>
  <c r="AB5"/>
  <c r="AB8" s="1"/>
  <c r="AB301"/>
  <c r="AB291"/>
  <c r="AB132"/>
  <c r="AB131"/>
  <c r="AB113"/>
  <c r="AB112"/>
  <c r="AB102"/>
  <c r="AC197"/>
  <c r="AC168"/>
  <c r="AC154"/>
  <c r="AC115"/>
  <c r="AC86"/>
  <c r="AB72" i="4"/>
  <c r="AB64"/>
  <c r="AB62"/>
  <c r="AB61"/>
  <c r="AB60"/>
  <c r="AB59"/>
  <c r="AB58"/>
  <c r="AB57"/>
  <c r="AB55"/>
  <c r="AB54"/>
  <c r="AB49"/>
  <c r="AB45"/>
  <c r="AB40"/>
  <c r="AB36"/>
  <c r="AB32"/>
  <c r="AB27"/>
  <c r="AB26"/>
  <c r="AB25"/>
  <c r="AB23"/>
  <c r="AC297" i="5"/>
  <c r="AC296"/>
  <c r="AC292"/>
  <c r="AC287"/>
  <c r="AC280"/>
  <c r="AC276"/>
  <c r="AC272"/>
  <c r="AC268"/>
  <c r="AC267"/>
  <c r="AC265"/>
  <c r="AC264"/>
  <c r="AC263"/>
  <c r="AC262"/>
  <c r="AC261"/>
  <c r="AC260"/>
  <c r="AC259"/>
  <c r="AC258"/>
  <c r="AC257"/>
  <c r="AC256"/>
  <c r="AC254"/>
  <c r="AC253"/>
  <c r="AC252"/>
  <c r="AC251"/>
  <c r="AC250"/>
  <c r="AC249"/>
  <c r="AC248"/>
  <c r="AC247"/>
  <c r="AC246"/>
  <c r="AC245"/>
  <c r="AC243"/>
  <c r="AC242"/>
  <c r="AC241"/>
  <c r="AC240"/>
  <c r="AC239"/>
  <c r="AC238"/>
  <c r="AC230"/>
  <c r="AC229"/>
  <c r="AC228"/>
  <c r="AC227"/>
  <c r="AC226"/>
  <c r="AC225"/>
  <c r="AC224"/>
  <c r="AC205"/>
  <c r="AC204"/>
  <c r="AC203"/>
  <c r="AC193"/>
  <c r="AC196"/>
  <c r="AC195"/>
  <c r="AC194"/>
  <c r="AC192"/>
  <c r="AC191"/>
  <c r="AC190"/>
  <c r="AC189"/>
  <c r="AC188"/>
  <c r="AC187"/>
  <c r="AC186"/>
  <c r="AC185"/>
  <c r="AC184"/>
  <c r="AC183"/>
  <c r="AC180"/>
  <c r="AC179"/>
  <c r="AC170"/>
  <c r="AC169"/>
  <c r="AC160"/>
  <c r="AC159"/>
  <c r="AC156"/>
  <c r="AC155"/>
  <c r="AC153"/>
  <c r="AC151"/>
  <c r="AC150"/>
  <c r="AC149"/>
  <c r="AC148"/>
  <c r="AC147"/>
  <c r="AC146"/>
  <c r="AC145"/>
  <c r="AC144"/>
  <c r="AC143"/>
  <c r="AC137"/>
  <c r="AC135"/>
  <c r="AC133"/>
  <c r="AC127"/>
  <c r="AC118"/>
  <c r="AC117"/>
  <c r="AC116"/>
  <c r="AC114"/>
  <c r="AC108"/>
  <c r="AC105"/>
  <c r="AC104"/>
  <c r="AC100"/>
  <c r="AC94"/>
  <c r="AC93"/>
  <c r="AC92"/>
  <c r="AC91"/>
  <c r="AC90"/>
  <c r="AC89"/>
  <c r="AC88"/>
  <c r="AC87"/>
  <c r="AC80"/>
  <c r="AC78"/>
  <c r="AC77"/>
  <c r="AC76"/>
  <c r="AC73"/>
  <c r="AC69"/>
  <c r="AC68"/>
  <c r="AC67"/>
  <c r="AC65"/>
  <c r="AC64"/>
  <c r="AC63"/>
  <c r="AC62"/>
  <c r="AC61"/>
  <c r="AC60"/>
  <c r="AC54"/>
  <c r="AC53"/>
  <c r="AC52"/>
  <c r="AC51"/>
  <c r="AC50"/>
  <c r="AC47"/>
  <c r="AC39"/>
  <c r="AC35"/>
  <c r="AC29"/>
  <c r="AC23"/>
  <c r="AC17"/>
  <c r="AC16"/>
  <c r="AC15"/>
  <c r="AC14"/>
  <c r="AC11"/>
  <c r="AC10"/>
  <c r="AC5"/>
  <c r="Z88" i="4"/>
  <c r="AB22" i="5" l="1"/>
  <c r="BJ14" i="4"/>
  <c r="BG20"/>
  <c r="I17" i="37"/>
  <c r="I25"/>
  <c r="I25" i="38"/>
  <c r="I17"/>
  <c r="BD90" i="4"/>
  <c r="BD1" s="1"/>
  <c r="L5" i="38"/>
  <c r="L9" s="1"/>
  <c r="L5" i="36"/>
  <c r="L9" s="1"/>
  <c r="L5" i="37"/>
  <c r="L9" s="1"/>
  <c r="I17" i="36"/>
  <c r="I25"/>
  <c r="D9" i="38"/>
  <c r="AJ90" i="4"/>
  <c r="AH1" i="5"/>
  <c r="BH167"/>
  <c r="BK160"/>
  <c r="BO160"/>
  <c r="BK22"/>
  <c r="BO22"/>
  <c r="BH142"/>
  <c r="BO138"/>
  <c r="BE307"/>
  <c r="R14" i="38" s="1"/>
  <c r="R15" s="1"/>
  <c r="E7"/>
  <c r="E7" i="36"/>
  <c r="E7" i="37"/>
  <c r="H7" i="33"/>
  <c r="AQ66" i="4"/>
  <c r="E6" i="37"/>
  <c r="AQ88" i="4"/>
  <c r="E6" i="38"/>
  <c r="F25" i="37"/>
  <c r="D12" i="36"/>
  <c r="D12" i="38"/>
  <c r="D12" i="37"/>
  <c r="F17"/>
  <c r="D14" i="38"/>
  <c r="D14" i="37"/>
  <c r="D13" i="38"/>
  <c r="D13" i="37"/>
  <c r="F17" i="38"/>
  <c r="F25"/>
  <c r="AP90" i="4"/>
  <c r="E8" i="37"/>
  <c r="E8" i="38"/>
  <c r="E8" i="36"/>
  <c r="H8" i="33"/>
  <c r="AQ30" i="4"/>
  <c r="D9" i="37"/>
  <c r="E5"/>
  <c r="E5" i="36"/>
  <c r="E5" i="38"/>
  <c r="AQ20" i="4"/>
  <c r="AL90"/>
  <c r="AQ90" s="1"/>
  <c r="D9" i="36"/>
  <c r="D13"/>
  <c r="F17"/>
  <c r="F25"/>
  <c r="D14"/>
  <c r="F17" i="33"/>
  <c r="AI70" i="5"/>
  <c r="AI291"/>
  <c r="AE309"/>
  <c r="AM309" s="1"/>
  <c r="AM307"/>
  <c r="AM305"/>
  <c r="AM304"/>
  <c r="AI22"/>
  <c r="AI120"/>
  <c r="AI174"/>
  <c r="AI121"/>
  <c r="AN269"/>
  <c r="AI20"/>
  <c r="AN270"/>
  <c r="AI270"/>
  <c r="AH304"/>
  <c r="AN200"/>
  <c r="AI200"/>
  <c r="AN207"/>
  <c r="AI207"/>
  <c r="AN71"/>
  <c r="AI71"/>
  <c r="AN301"/>
  <c r="AI301"/>
  <c r="AN8"/>
  <c r="AI8"/>
  <c r="AN111"/>
  <c r="AI111"/>
  <c r="AN165"/>
  <c r="AI165"/>
  <c r="AN74"/>
  <c r="AI74"/>
  <c r="AN286"/>
  <c r="AI286"/>
  <c r="AN38"/>
  <c r="AI38"/>
  <c r="AN112"/>
  <c r="AI112"/>
  <c r="AH307"/>
  <c r="E14" i="38" s="1"/>
  <c r="AN202" i="5"/>
  <c r="AI202"/>
  <c r="AN237"/>
  <c r="AI237"/>
  <c r="AN58"/>
  <c r="AI58"/>
  <c r="AN83"/>
  <c r="AI83"/>
  <c r="AN97"/>
  <c r="AI97"/>
  <c r="AN21"/>
  <c r="AI21"/>
  <c r="AH305"/>
  <c r="E13" i="38" s="1"/>
  <c r="AN141" i="5"/>
  <c r="AI141"/>
  <c r="AB83"/>
  <c r="AB120"/>
  <c r="AB174"/>
  <c r="AB20"/>
  <c r="AB111"/>
  <c r="AB165"/>
  <c r="AB97"/>
  <c r="AB237"/>
  <c r="AB58"/>
  <c r="AB269"/>
  <c r="AB202"/>
  <c r="AB21"/>
  <c r="AB305" s="1"/>
  <c r="AB207"/>
  <c r="AB70"/>
  <c r="AB141"/>
  <c r="AB307" l="1"/>
  <c r="BM14" i="4"/>
  <c r="BJ20"/>
  <c r="L25" i="36"/>
  <c r="L17"/>
  <c r="L17" i="37"/>
  <c r="L25"/>
  <c r="L17" i="38"/>
  <c r="L25"/>
  <c r="O5" i="37"/>
  <c r="O9" s="1"/>
  <c r="BG90" i="4"/>
  <c r="BG1" s="1"/>
  <c r="O5" i="38"/>
  <c r="O9" s="1"/>
  <c r="E12"/>
  <c r="E15" s="1"/>
  <c r="BK167" i="5"/>
  <c r="BO167"/>
  <c r="BH307"/>
  <c r="BO142"/>
  <c r="BK142"/>
  <c r="BE309"/>
  <c r="BE1" s="1"/>
  <c r="D15" i="36"/>
  <c r="D25" s="1"/>
  <c r="E9" i="37"/>
  <c r="H7" i="14"/>
  <c r="H6"/>
  <c r="E9" i="36"/>
  <c r="D15" i="38"/>
  <c r="D25" s="1"/>
  <c r="D15" i="37"/>
  <c r="D25" s="1"/>
  <c r="E9" i="33"/>
  <c r="H9" s="1"/>
  <c r="H5"/>
  <c r="H5" i="14"/>
  <c r="H8"/>
  <c r="E9" i="38"/>
  <c r="E14" i="36"/>
  <c r="E14" i="37"/>
  <c r="E13" i="36"/>
  <c r="E13" i="37"/>
  <c r="E12" i="36"/>
  <c r="E12" i="37"/>
  <c r="H14" i="33"/>
  <c r="H13"/>
  <c r="H12"/>
  <c r="AH309" i="5"/>
  <c r="AI309" s="1"/>
  <c r="AN307"/>
  <c r="AI307"/>
  <c r="AN305"/>
  <c r="AI305"/>
  <c r="AN304"/>
  <c r="AI304"/>
  <c r="AA21"/>
  <c r="AA301"/>
  <c r="AA291"/>
  <c r="AA271"/>
  <c r="AA270"/>
  <c r="AA202"/>
  <c r="AA201"/>
  <c r="AA167"/>
  <c r="AA166"/>
  <c r="AA142"/>
  <c r="AA132"/>
  <c r="AA121"/>
  <c r="AA113"/>
  <c r="AA98"/>
  <c r="AA84"/>
  <c r="AA71"/>
  <c r="AA70"/>
  <c r="Z28"/>
  <c r="Z20"/>
  <c r="Z21"/>
  <c r="Z22"/>
  <c r="AA22"/>
  <c r="Z8"/>
  <c r="Z66" i="4"/>
  <c r="X88"/>
  <c r="Z30"/>
  <c r="Z20"/>
  <c r="S269" i="5"/>
  <c r="S131"/>
  <c r="S111"/>
  <c r="Q111"/>
  <c r="R111"/>
  <c r="L167"/>
  <c r="AL167" s="1"/>
  <c r="Q165"/>
  <c r="S165"/>
  <c r="Y166"/>
  <c r="S28"/>
  <c r="Q28"/>
  <c r="Y28"/>
  <c r="Y271"/>
  <c r="O17" i="37" l="1"/>
  <c r="O25"/>
  <c r="R5" i="38"/>
  <c r="R9" s="1"/>
  <c r="BM20" i="4"/>
  <c r="BJ90"/>
  <c r="O25" i="38"/>
  <c r="O17"/>
  <c r="E15" i="36"/>
  <c r="E17" s="1"/>
  <c r="E21" s="1"/>
  <c r="E23" s="1"/>
  <c r="E25" s="1"/>
  <c r="BO307" i="5"/>
  <c r="BK307"/>
  <c r="BH309"/>
  <c r="E15" i="37"/>
  <c r="E17" s="1"/>
  <c r="E21" s="1"/>
  <c r="E23" s="1"/>
  <c r="E25" s="1"/>
  <c r="D17"/>
  <c r="D17" i="38"/>
  <c r="D17" i="36"/>
  <c r="E17" i="38"/>
  <c r="E21" s="1"/>
  <c r="E23" s="1"/>
  <c r="E25" s="1"/>
  <c r="E15" i="33"/>
  <c r="E17" s="1"/>
  <c r="H12" i="14"/>
  <c r="H13"/>
  <c r="AN309" i="5"/>
  <c r="AA307"/>
  <c r="Z90" i="4"/>
  <c r="AF90" s="1"/>
  <c r="AA305" i="5"/>
  <c r="AA304"/>
  <c r="Y167"/>
  <c r="T94"/>
  <c r="U94"/>
  <c r="X66" i="4"/>
  <c r="Y301" i="5"/>
  <c r="Y291"/>
  <c r="Y279"/>
  <c r="Y275"/>
  <c r="Y270"/>
  <c r="Y202"/>
  <c r="Y201"/>
  <c r="Y182"/>
  <c r="Y174"/>
  <c r="Y142"/>
  <c r="Y132"/>
  <c r="Y131"/>
  <c r="Y121"/>
  <c r="Y113"/>
  <c r="Y112"/>
  <c r="Y103"/>
  <c r="Y98"/>
  <c r="Y74"/>
  <c r="Y71"/>
  <c r="Y70"/>
  <c r="Y46"/>
  <c r="Y38"/>
  <c r="Y33"/>
  <c r="Y8"/>
  <c r="X24" i="4"/>
  <c r="AB24" s="1"/>
  <c r="X22"/>
  <c r="AB22" s="1"/>
  <c r="X6"/>
  <c r="AB6" s="1"/>
  <c r="X7"/>
  <c r="AB7" s="1"/>
  <c r="X8"/>
  <c r="AB8" s="1"/>
  <c r="X9"/>
  <c r="AB9" s="1"/>
  <c r="X10"/>
  <c r="AB10" s="1"/>
  <c r="X11"/>
  <c r="AB11" s="1"/>
  <c r="X14"/>
  <c r="AB14" s="1"/>
  <c r="X12"/>
  <c r="AB12" s="1"/>
  <c r="X13"/>
  <c r="AB13" s="1"/>
  <c r="X15"/>
  <c r="AB15" s="1"/>
  <c r="X16"/>
  <c r="AB16" s="1"/>
  <c r="X19"/>
  <c r="AB19" s="1"/>
  <c r="BM90" l="1"/>
  <c r="BJ1"/>
  <c r="D5" i="33"/>
  <c r="D9" s="1"/>
  <c r="D9" i="14"/>
  <c r="R17" i="38"/>
  <c r="R21" s="1"/>
  <c r="R23" s="1"/>
  <c r="R25" s="1"/>
  <c r="D14" i="33"/>
  <c r="D15" s="1"/>
  <c r="D14" i="14"/>
  <c r="BK309" i="5"/>
  <c r="BO309"/>
  <c r="BH1"/>
  <c r="H15" i="33"/>
  <c r="Y305" i="5"/>
  <c r="Y200"/>
  <c r="Y304" s="1"/>
  <c r="AB182"/>
  <c r="AB200" s="1"/>
  <c r="AB304" s="1"/>
  <c r="AB309" s="1"/>
  <c r="AC182"/>
  <c r="AC313" s="1"/>
  <c r="X30" i="4"/>
  <c r="AA309" i="5"/>
  <c r="AF309" s="1"/>
  <c r="Y307"/>
  <c r="D17" i="33" l="1"/>
  <c r="D16" i="14"/>
  <c r="Y309" i="5"/>
  <c r="Y1" s="1"/>
  <c r="AA1" s="1"/>
  <c r="U30" i="4"/>
  <c r="S182" i="5"/>
  <c r="D25" i="14" l="1"/>
  <c r="D21" i="33"/>
  <c r="D23" s="1"/>
  <c r="D25" s="1"/>
  <c r="V6" i="4"/>
  <c r="V7"/>
  <c r="V8"/>
  <c r="V9"/>
  <c r="V10"/>
  <c r="V11"/>
  <c r="V14"/>
  <c r="V12"/>
  <c r="V13"/>
  <c r="V15"/>
  <c r="V16"/>
  <c r="V19"/>
  <c r="U88"/>
  <c r="U66"/>
  <c r="U5"/>
  <c r="U297" i="5"/>
  <c r="T297"/>
  <c r="U296"/>
  <c r="T296"/>
  <c r="U292"/>
  <c r="T292"/>
  <c r="S301"/>
  <c r="R301"/>
  <c r="Q301"/>
  <c r="S291"/>
  <c r="R291"/>
  <c r="Q291"/>
  <c r="U288"/>
  <c r="T288"/>
  <c r="U287"/>
  <c r="T287"/>
  <c r="U282"/>
  <c r="T282"/>
  <c r="U280"/>
  <c r="T280"/>
  <c r="S286"/>
  <c r="R286"/>
  <c r="Q286"/>
  <c r="S279"/>
  <c r="R279"/>
  <c r="Q279"/>
  <c r="U276"/>
  <c r="T276"/>
  <c r="T279" s="1"/>
  <c r="S275"/>
  <c r="R275"/>
  <c r="Q275"/>
  <c r="U272"/>
  <c r="T272"/>
  <c r="T275" s="1"/>
  <c r="S270"/>
  <c r="R270"/>
  <c r="Q270"/>
  <c r="R269"/>
  <c r="Q269"/>
  <c r="T251"/>
  <c r="U251"/>
  <c r="T252"/>
  <c r="U252"/>
  <c r="T253"/>
  <c r="U253"/>
  <c r="T254"/>
  <c r="U254"/>
  <c r="T257"/>
  <c r="U257"/>
  <c r="T258"/>
  <c r="T270" s="1"/>
  <c r="U258"/>
  <c r="T259"/>
  <c r="U259"/>
  <c r="T260"/>
  <c r="U260"/>
  <c r="T261"/>
  <c r="U261"/>
  <c r="T263"/>
  <c r="U263"/>
  <c r="T264"/>
  <c r="U264"/>
  <c r="T267"/>
  <c r="U267"/>
  <c r="U248"/>
  <c r="U249"/>
  <c r="U250"/>
  <c r="T250"/>
  <c r="T249"/>
  <c r="T248"/>
  <c r="U247"/>
  <c r="T247"/>
  <c r="X5" i="4" l="1"/>
  <c r="V5"/>
  <c r="U20"/>
  <c r="U90" s="1"/>
  <c r="U269" i="5"/>
  <c r="U275"/>
  <c r="T291"/>
  <c r="U291"/>
  <c r="U301"/>
  <c r="U286"/>
  <c r="U270"/>
  <c r="U279"/>
  <c r="T301"/>
  <c r="T286"/>
  <c r="U245"/>
  <c r="T245"/>
  <c r="U243"/>
  <c r="T243"/>
  <c r="U242"/>
  <c r="T242"/>
  <c r="U241"/>
  <c r="T241"/>
  <c r="U240"/>
  <c r="T240"/>
  <c r="U239"/>
  <c r="T239"/>
  <c r="U238"/>
  <c r="T238"/>
  <c r="AB5" i="4" l="1"/>
  <c r="AB91" s="1"/>
  <c r="X20"/>
  <c r="X90" s="1"/>
  <c r="T269" i="5"/>
  <c r="R237"/>
  <c r="Q227"/>
  <c r="S227" s="1"/>
  <c r="Q228"/>
  <c r="S228" s="1"/>
  <c r="Q229"/>
  <c r="S229" s="1"/>
  <c r="U229" s="1"/>
  <c r="Q230"/>
  <c r="S230" s="1"/>
  <c r="T230" s="1"/>
  <c r="Q224"/>
  <c r="S224" s="1"/>
  <c r="U205"/>
  <c r="T205"/>
  <c r="U204"/>
  <c r="T204"/>
  <c r="U203"/>
  <c r="T203"/>
  <c r="S207"/>
  <c r="R207"/>
  <c r="Q207"/>
  <c r="S202"/>
  <c r="R202"/>
  <c r="Q202"/>
  <c r="S201"/>
  <c r="R201"/>
  <c r="Q201"/>
  <c r="S200"/>
  <c r="R200"/>
  <c r="Q200"/>
  <c r="U197"/>
  <c r="T197"/>
  <c r="U196"/>
  <c r="T196"/>
  <c r="U194"/>
  <c r="T194"/>
  <c r="U191"/>
  <c r="T191"/>
  <c r="U190"/>
  <c r="T190"/>
  <c r="T201" s="1"/>
  <c r="U189"/>
  <c r="T189"/>
  <c r="U188"/>
  <c r="T188"/>
  <c r="U187"/>
  <c r="T187"/>
  <c r="U186"/>
  <c r="T186"/>
  <c r="U185"/>
  <c r="T185"/>
  <c r="U184"/>
  <c r="T184"/>
  <c r="U183"/>
  <c r="T183"/>
  <c r="U182"/>
  <c r="T182"/>
  <c r="U180"/>
  <c r="T180"/>
  <c r="U179"/>
  <c r="T179"/>
  <c r="U200" l="1"/>
  <c r="U202"/>
  <c r="T224"/>
  <c r="U224"/>
  <c r="T207"/>
  <c r="U201"/>
  <c r="U227"/>
  <c r="T227"/>
  <c r="U207"/>
  <c r="T200"/>
  <c r="T202"/>
  <c r="T228"/>
  <c r="U228"/>
  <c r="S237"/>
  <c r="T229"/>
  <c r="Q237"/>
  <c r="U230"/>
  <c r="U237" l="1"/>
  <c r="T237"/>
  <c r="T170" l="1"/>
  <c r="U170"/>
  <c r="U168"/>
  <c r="T168"/>
  <c r="R174"/>
  <c r="S174"/>
  <c r="Q174"/>
  <c r="S167"/>
  <c r="R167"/>
  <c r="Q167"/>
  <c r="S166"/>
  <c r="R166"/>
  <c r="Q166"/>
  <c r="R165"/>
  <c r="U160"/>
  <c r="T160"/>
  <c r="T167" s="1"/>
  <c r="U159"/>
  <c r="T159"/>
  <c r="U156"/>
  <c r="T156"/>
  <c r="T166" s="1"/>
  <c r="U155"/>
  <c r="T155"/>
  <c r="U154"/>
  <c r="T154"/>
  <c r="U153"/>
  <c r="T153"/>
  <c r="U151"/>
  <c r="T151"/>
  <c r="U150"/>
  <c r="T150"/>
  <c r="U149"/>
  <c r="T149"/>
  <c r="U148"/>
  <c r="T148"/>
  <c r="U147"/>
  <c r="T147"/>
  <c r="U146"/>
  <c r="T146"/>
  <c r="U145"/>
  <c r="T145"/>
  <c r="U144"/>
  <c r="T144"/>
  <c r="U143"/>
  <c r="T143"/>
  <c r="S142"/>
  <c r="R142"/>
  <c r="Q142"/>
  <c r="S141"/>
  <c r="R141"/>
  <c r="Q141"/>
  <c r="U138"/>
  <c r="T138"/>
  <c r="T142" s="1"/>
  <c r="U137"/>
  <c r="T137"/>
  <c r="U135"/>
  <c r="T135"/>
  <c r="U133"/>
  <c r="T133"/>
  <c r="S132"/>
  <c r="R132"/>
  <c r="Q132"/>
  <c r="T131"/>
  <c r="R131"/>
  <c r="Q131"/>
  <c r="U127"/>
  <c r="T127"/>
  <c r="T132" s="1"/>
  <c r="S121"/>
  <c r="R121"/>
  <c r="Q121"/>
  <c r="S120"/>
  <c r="R120"/>
  <c r="Q120"/>
  <c r="U118"/>
  <c r="T118"/>
  <c r="T121" s="1"/>
  <c r="U117"/>
  <c r="T117"/>
  <c r="U116"/>
  <c r="T116"/>
  <c r="U115"/>
  <c r="T115"/>
  <c r="U114"/>
  <c r="T114"/>
  <c r="S113"/>
  <c r="R113"/>
  <c r="Q113"/>
  <c r="S112"/>
  <c r="R112"/>
  <c r="Q112"/>
  <c r="U109"/>
  <c r="T109"/>
  <c r="T113" s="1"/>
  <c r="U108"/>
  <c r="T108"/>
  <c r="T112" s="1"/>
  <c r="U104"/>
  <c r="T104"/>
  <c r="S103"/>
  <c r="R103"/>
  <c r="Q103"/>
  <c r="T102"/>
  <c r="S102"/>
  <c r="R102"/>
  <c r="Q102"/>
  <c r="U100"/>
  <c r="T100"/>
  <c r="T103" s="1"/>
  <c r="S98"/>
  <c r="R98"/>
  <c r="Q98"/>
  <c r="S97"/>
  <c r="R97"/>
  <c r="Q97"/>
  <c r="U93"/>
  <c r="T93"/>
  <c r="U92"/>
  <c r="T92"/>
  <c r="U91"/>
  <c r="T91"/>
  <c r="T98" s="1"/>
  <c r="U90"/>
  <c r="T90"/>
  <c r="U89"/>
  <c r="T89"/>
  <c r="U88"/>
  <c r="T88"/>
  <c r="U87"/>
  <c r="T87"/>
  <c r="U86"/>
  <c r="T86"/>
  <c r="S84"/>
  <c r="R84"/>
  <c r="Q84"/>
  <c r="U80"/>
  <c r="T80"/>
  <c r="T84" s="1"/>
  <c r="U78"/>
  <c r="T78"/>
  <c r="U77"/>
  <c r="T77"/>
  <c r="U76"/>
  <c r="T76"/>
  <c r="S83"/>
  <c r="R83"/>
  <c r="Q83"/>
  <c r="S74"/>
  <c r="R74"/>
  <c r="Q74"/>
  <c r="U73"/>
  <c r="T73"/>
  <c r="U72"/>
  <c r="T72"/>
  <c r="R71"/>
  <c r="S71"/>
  <c r="Q71"/>
  <c r="S70"/>
  <c r="R70"/>
  <c r="Q70"/>
  <c r="U69"/>
  <c r="T69"/>
  <c r="U68"/>
  <c r="T68"/>
  <c r="T71" s="1"/>
  <c r="U67"/>
  <c r="T67"/>
  <c r="U65"/>
  <c r="U64"/>
  <c r="T65"/>
  <c r="T64"/>
  <c r="U63"/>
  <c r="T63"/>
  <c r="U62"/>
  <c r="T62"/>
  <c r="U61"/>
  <c r="T61"/>
  <c r="U60"/>
  <c r="T60"/>
  <c r="S58"/>
  <c r="R58"/>
  <c r="Q58"/>
  <c r="U54"/>
  <c r="T54"/>
  <c r="U53"/>
  <c r="T53"/>
  <c r="U52"/>
  <c r="T52"/>
  <c r="U51"/>
  <c r="T51"/>
  <c r="U50"/>
  <c r="T50"/>
  <c r="U47"/>
  <c r="T47"/>
  <c r="R46"/>
  <c r="S46"/>
  <c r="Q46"/>
  <c r="U39"/>
  <c r="T39"/>
  <c r="T46" s="1"/>
  <c r="S38"/>
  <c r="R38"/>
  <c r="Q38"/>
  <c r="U35"/>
  <c r="T35"/>
  <c r="T38" s="1"/>
  <c r="R33"/>
  <c r="Q29"/>
  <c r="Q33" s="1"/>
  <c r="T17"/>
  <c r="T16"/>
  <c r="T21" s="1"/>
  <c r="T15"/>
  <c r="T14"/>
  <c r="T11"/>
  <c r="T5"/>
  <c r="T8" s="1"/>
  <c r="U17"/>
  <c r="U15"/>
  <c r="U16"/>
  <c r="U14"/>
  <c r="U11"/>
  <c r="U5"/>
  <c r="S22"/>
  <c r="S21"/>
  <c r="S20"/>
  <c r="S8"/>
  <c r="R22"/>
  <c r="Q22"/>
  <c r="R21"/>
  <c r="Q21"/>
  <c r="R20"/>
  <c r="Q20"/>
  <c r="R8"/>
  <c r="Q8"/>
  <c r="S5" i="4"/>
  <c r="T22" i="5" l="1"/>
  <c r="T307" s="1"/>
  <c r="T111"/>
  <c r="T141"/>
  <c r="Q305"/>
  <c r="U58"/>
  <c r="R304"/>
  <c r="Q304"/>
  <c r="U103"/>
  <c r="U132"/>
  <c r="R305"/>
  <c r="U98"/>
  <c r="S29"/>
  <c r="S33" s="1"/>
  <c r="S304" s="1"/>
  <c r="U141"/>
  <c r="U142"/>
  <c r="T97"/>
  <c r="S305"/>
  <c r="T305"/>
  <c r="U83"/>
  <c r="S307"/>
  <c r="R307"/>
  <c r="U120"/>
  <c r="Q307"/>
  <c r="U70"/>
  <c r="T74"/>
  <c r="U74"/>
  <c r="U111"/>
  <c r="U121"/>
  <c r="T165"/>
  <c r="T70"/>
  <c r="U84"/>
  <c r="U97"/>
  <c r="U102"/>
  <c r="U113"/>
  <c r="U131"/>
  <c r="U165"/>
  <c r="U166"/>
  <c r="U167"/>
  <c r="T58"/>
  <c r="U71"/>
  <c r="T83"/>
  <c r="U112"/>
  <c r="T120"/>
  <c r="U8"/>
  <c r="T20"/>
  <c r="U22"/>
  <c r="U38"/>
  <c r="U174"/>
  <c r="T174"/>
  <c r="U46"/>
  <c r="U20"/>
  <c r="U21"/>
  <c r="S6" i="4"/>
  <c r="S7"/>
  <c r="S8"/>
  <c r="S9"/>
  <c r="S10"/>
  <c r="Q14"/>
  <c r="Q6"/>
  <c r="Q7"/>
  <c r="Q8"/>
  <c r="Q9"/>
  <c r="Q10"/>
  <c r="Q5"/>
  <c r="R6"/>
  <c r="R7"/>
  <c r="R8"/>
  <c r="R9"/>
  <c r="R10"/>
  <c r="R5"/>
  <c r="P5"/>
  <c r="P6"/>
  <c r="P7"/>
  <c r="P8"/>
  <c r="P9"/>
  <c r="P10"/>
  <c r="R12"/>
  <c r="S12" s="1"/>
  <c r="R13"/>
  <c r="R15"/>
  <c r="S15" s="1"/>
  <c r="R16"/>
  <c r="S16" s="1"/>
  <c r="R19"/>
  <c r="S19" s="1"/>
  <c r="R14"/>
  <c r="S14" s="1"/>
  <c r="P19"/>
  <c r="Q19" s="1"/>
  <c r="P16"/>
  <c r="Q16" s="1"/>
  <c r="P15"/>
  <c r="Q15" s="1"/>
  <c r="P13"/>
  <c r="Q13" s="1"/>
  <c r="P12"/>
  <c r="Q12" s="1"/>
  <c r="P14"/>
  <c r="L66"/>
  <c r="C7" i="38" l="1"/>
  <c r="C7" i="37"/>
  <c r="C7" i="36"/>
  <c r="G7" i="14"/>
  <c r="AO66" i="4"/>
  <c r="U33" i="5"/>
  <c r="Q20" i="4"/>
  <c r="R20"/>
  <c r="S13"/>
  <c r="S20" s="1"/>
  <c r="P66"/>
  <c r="Q66" s="1"/>
  <c r="R66" s="1"/>
  <c r="S66" s="1"/>
  <c r="T29" i="5"/>
  <c r="T33" s="1"/>
  <c r="T304" s="1"/>
  <c r="T309" s="1"/>
  <c r="T1" s="1"/>
  <c r="R309"/>
  <c r="R1" s="1"/>
  <c r="Q309"/>
  <c r="Q1" s="1"/>
  <c r="S309"/>
  <c r="U29"/>
  <c r="U304"/>
  <c r="U305"/>
  <c r="P20" i="4"/>
  <c r="N104" i="5"/>
  <c r="M104"/>
  <c r="U309" l="1"/>
  <c r="S1"/>
  <c r="W264"/>
  <c r="L143"/>
  <c r="L165" s="1"/>
  <c r="AL165" s="1"/>
  <c r="L60"/>
  <c r="L279" l="1"/>
  <c r="AL279" s="1"/>
  <c r="L301"/>
  <c r="L114"/>
  <c r="L108"/>
  <c r="L111" s="1"/>
  <c r="AL111" s="1"/>
  <c r="L109"/>
  <c r="I78" i="4"/>
  <c r="I77"/>
  <c r="D88"/>
  <c r="L30"/>
  <c r="F30"/>
  <c r="D30"/>
  <c r="F200" i="5"/>
  <c r="D200"/>
  <c r="D279"/>
  <c r="F270"/>
  <c r="I270"/>
  <c r="L270"/>
  <c r="AL270" s="1"/>
  <c r="AL269"/>
  <c r="F269"/>
  <c r="D270"/>
  <c r="D269"/>
  <c r="I213"/>
  <c r="I237" s="1"/>
  <c r="I209"/>
  <c r="I210"/>
  <c r="I211"/>
  <c r="I212"/>
  <c r="I208"/>
  <c r="F237"/>
  <c r="D237"/>
  <c r="F207"/>
  <c r="D207"/>
  <c r="F202"/>
  <c r="D202"/>
  <c r="L201"/>
  <c r="AL201" s="1"/>
  <c r="I201"/>
  <c r="F201"/>
  <c r="D201"/>
  <c r="D166"/>
  <c r="F165"/>
  <c r="D165"/>
  <c r="I112"/>
  <c r="I111"/>
  <c r="D111"/>
  <c r="L102"/>
  <c r="AL102" s="1"/>
  <c r="I102"/>
  <c r="F102"/>
  <c r="D102"/>
  <c r="L98"/>
  <c r="AL98" s="1"/>
  <c r="I98"/>
  <c r="F98"/>
  <c r="D98"/>
  <c r="L97"/>
  <c r="AL97" s="1"/>
  <c r="I97"/>
  <c r="F97"/>
  <c r="D97"/>
  <c r="L83"/>
  <c r="AL83" s="1"/>
  <c r="I83"/>
  <c r="F83"/>
  <c r="D84"/>
  <c r="D83"/>
  <c r="F74"/>
  <c r="D74"/>
  <c r="F70"/>
  <c r="D70"/>
  <c r="I58"/>
  <c r="F58"/>
  <c r="D58"/>
  <c r="L46"/>
  <c r="AL46" s="1"/>
  <c r="I46"/>
  <c r="F46"/>
  <c r="D46"/>
  <c r="L38"/>
  <c r="AL38" s="1"/>
  <c r="F38"/>
  <c r="D38"/>
  <c r="D33"/>
  <c r="I28"/>
  <c r="F28"/>
  <c r="D28"/>
  <c r="L20"/>
  <c r="AL20" s="1"/>
  <c r="I20"/>
  <c r="F20"/>
  <c r="D20"/>
  <c r="D8"/>
  <c r="C8" i="38" l="1"/>
  <c r="C8" i="36"/>
  <c r="C8" i="37"/>
  <c r="G8" i="33"/>
  <c r="G8" i="14"/>
  <c r="AO30" i="4"/>
  <c r="W292" i="5"/>
  <c r="AL301"/>
  <c r="P30" i="4"/>
  <c r="Q30" s="1"/>
  <c r="R30" s="1"/>
  <c r="S30" s="1"/>
  <c r="I30"/>
  <c r="L203" i="5" l="1"/>
  <c r="L196"/>
  <c r="L182"/>
  <c r="L138"/>
  <c r="L142" s="1"/>
  <c r="AL142" s="1"/>
  <c r="N25"/>
  <c r="M25"/>
  <c r="N23"/>
  <c r="M23"/>
  <c r="I301"/>
  <c r="F301"/>
  <c r="D301"/>
  <c r="N297"/>
  <c r="M297"/>
  <c r="N296"/>
  <c r="M296"/>
  <c r="N292"/>
  <c r="M292"/>
  <c r="N288"/>
  <c r="M288"/>
  <c r="N287"/>
  <c r="M287"/>
  <c r="L291"/>
  <c r="AL291" s="1"/>
  <c r="I291"/>
  <c r="F291"/>
  <c r="D286"/>
  <c r="D291"/>
  <c r="N283"/>
  <c r="M283"/>
  <c r="N282"/>
  <c r="M282"/>
  <c r="N281"/>
  <c r="M281"/>
  <c r="N280"/>
  <c r="M280"/>
  <c r="L286"/>
  <c r="AL286" s="1"/>
  <c r="I286"/>
  <c r="F286"/>
  <c r="M276"/>
  <c r="I279"/>
  <c r="F279"/>
  <c r="L275"/>
  <c r="AL275" s="1"/>
  <c r="F275"/>
  <c r="D275"/>
  <c r="M272"/>
  <c r="I272"/>
  <c r="I275" s="1"/>
  <c r="N264"/>
  <c r="I254"/>
  <c r="N254" s="1"/>
  <c r="I253"/>
  <c r="N238"/>
  <c r="N267"/>
  <c r="M267"/>
  <c r="N263"/>
  <c r="M263"/>
  <c r="N262"/>
  <c r="M262"/>
  <c r="N261"/>
  <c r="M261"/>
  <c r="N260"/>
  <c r="M260"/>
  <c r="N259"/>
  <c r="M259"/>
  <c r="N258"/>
  <c r="M258"/>
  <c r="N257"/>
  <c r="M257"/>
  <c r="M254"/>
  <c r="M253"/>
  <c r="N252"/>
  <c r="M252"/>
  <c r="N251"/>
  <c r="M251"/>
  <c r="N250"/>
  <c r="M250"/>
  <c r="N249"/>
  <c r="M249"/>
  <c r="N248"/>
  <c r="M248"/>
  <c r="N247"/>
  <c r="M247"/>
  <c r="N246"/>
  <c r="M246"/>
  <c r="N245"/>
  <c r="M245"/>
  <c r="N243"/>
  <c r="M243"/>
  <c r="N242"/>
  <c r="M242"/>
  <c r="N241"/>
  <c r="M241"/>
  <c r="N240"/>
  <c r="M240"/>
  <c r="N239"/>
  <c r="M239"/>
  <c r="L237"/>
  <c r="N230"/>
  <c r="M230"/>
  <c r="N229"/>
  <c r="M229"/>
  <c r="N228"/>
  <c r="M228"/>
  <c r="N227"/>
  <c r="M227"/>
  <c r="N224"/>
  <c r="M224"/>
  <c r="M204"/>
  <c r="N204"/>
  <c r="M205"/>
  <c r="I205"/>
  <c r="N205" s="1"/>
  <c r="I203"/>
  <c r="M184"/>
  <c r="N184"/>
  <c r="M185"/>
  <c r="N185"/>
  <c r="D142"/>
  <c r="I142"/>
  <c r="F142"/>
  <c r="L183"/>
  <c r="M183" s="1"/>
  <c r="L200" l="1"/>
  <c r="AL200" s="1"/>
  <c r="M237"/>
  <c r="AL237"/>
  <c r="M203"/>
  <c r="L207"/>
  <c r="AL207" s="1"/>
  <c r="N237"/>
  <c r="I207"/>
  <c r="N253"/>
  <c r="I269"/>
  <c r="N138"/>
  <c r="L202"/>
  <c r="AL202" s="1"/>
  <c r="M182"/>
  <c r="M138"/>
  <c r="N286"/>
  <c r="N272"/>
  <c r="M291"/>
  <c r="M301"/>
  <c r="M286"/>
  <c r="N142"/>
  <c r="N270"/>
  <c r="N301"/>
  <c r="M270"/>
  <c r="N291"/>
  <c r="N275"/>
  <c r="M275"/>
  <c r="N276"/>
  <c r="M264"/>
  <c r="M238"/>
  <c r="M142"/>
  <c r="N203"/>
  <c r="N269" l="1"/>
  <c r="N279"/>
  <c r="M279"/>
  <c r="M269"/>
  <c r="N207"/>
  <c r="I197" l="1"/>
  <c r="N197" s="1"/>
  <c r="I196"/>
  <c r="I194"/>
  <c r="N194" s="1"/>
  <c r="I183"/>
  <c r="N183" s="1"/>
  <c r="I182"/>
  <c r="N182" s="1"/>
  <c r="I180"/>
  <c r="N180" s="1"/>
  <c r="I179"/>
  <c r="M197"/>
  <c r="M196"/>
  <c r="M194"/>
  <c r="N193"/>
  <c r="M193"/>
  <c r="N191"/>
  <c r="M191"/>
  <c r="N190"/>
  <c r="M190"/>
  <c r="N189"/>
  <c r="M189"/>
  <c r="N188"/>
  <c r="M188"/>
  <c r="N187"/>
  <c r="M187"/>
  <c r="N186"/>
  <c r="M186"/>
  <c r="M180"/>
  <c r="M179"/>
  <c r="L166"/>
  <c r="AL166" s="1"/>
  <c r="I167"/>
  <c r="I166"/>
  <c r="F167"/>
  <c r="F166"/>
  <c r="D167"/>
  <c r="N196" l="1"/>
  <c r="I202"/>
  <c r="I200"/>
  <c r="N200" s="1"/>
  <c r="M200"/>
  <c r="M207"/>
  <c r="M202"/>
  <c r="N179"/>
  <c r="M201"/>
  <c r="N201"/>
  <c r="N202" l="1"/>
  <c r="M167" l="1"/>
  <c r="N167"/>
  <c r="N166"/>
  <c r="M166"/>
  <c r="I146"/>
  <c r="N146" s="1"/>
  <c r="I145"/>
  <c r="N145" s="1"/>
  <c r="I143"/>
  <c r="N160"/>
  <c r="M160"/>
  <c r="N159"/>
  <c r="M159"/>
  <c r="N156"/>
  <c r="M156"/>
  <c r="N155"/>
  <c r="M155"/>
  <c r="N154"/>
  <c r="M154"/>
  <c r="N153"/>
  <c r="M153"/>
  <c r="N151"/>
  <c r="M151"/>
  <c r="N150"/>
  <c r="M150"/>
  <c r="N149"/>
  <c r="M149"/>
  <c r="N147"/>
  <c r="M147"/>
  <c r="M146"/>
  <c r="M145"/>
  <c r="N144"/>
  <c r="M144"/>
  <c r="N137"/>
  <c r="M137"/>
  <c r="N135"/>
  <c r="M135"/>
  <c r="N133"/>
  <c r="M133"/>
  <c r="L141"/>
  <c r="AL141" s="1"/>
  <c r="I141"/>
  <c r="F141"/>
  <c r="D141"/>
  <c r="M141" l="1"/>
  <c r="I165"/>
  <c r="N165" s="1"/>
  <c r="N141"/>
  <c r="M143"/>
  <c r="M165"/>
  <c r="N143"/>
  <c r="L70"/>
  <c r="AL70" s="1"/>
  <c r="N126" l="1"/>
  <c r="M126"/>
  <c r="L127"/>
  <c r="L131"/>
  <c r="AL131" s="1"/>
  <c r="I132"/>
  <c r="I131"/>
  <c r="F132"/>
  <c r="F131"/>
  <c r="D132"/>
  <c r="D131"/>
  <c r="N118"/>
  <c r="M118"/>
  <c r="N117"/>
  <c r="M117"/>
  <c r="N116"/>
  <c r="M116"/>
  <c r="N115"/>
  <c r="M115"/>
  <c r="L121"/>
  <c r="AL121" s="1"/>
  <c r="L120"/>
  <c r="AL120" s="1"/>
  <c r="I121"/>
  <c r="I120"/>
  <c r="F121"/>
  <c r="F120"/>
  <c r="D121"/>
  <c r="D120"/>
  <c r="D304" s="1"/>
  <c r="N16"/>
  <c r="M16"/>
  <c r="N15"/>
  <c r="M15"/>
  <c r="N14"/>
  <c r="M14"/>
  <c r="N13"/>
  <c r="M13"/>
  <c r="N9"/>
  <c r="M9"/>
  <c r="I22"/>
  <c r="F22"/>
  <c r="D22"/>
  <c r="N17"/>
  <c r="N114"/>
  <c r="M114"/>
  <c r="N107"/>
  <c r="M107"/>
  <c r="N106"/>
  <c r="M106"/>
  <c r="F112"/>
  <c r="F111"/>
  <c r="D113"/>
  <c r="D112"/>
  <c r="I113"/>
  <c r="F113"/>
  <c r="L103"/>
  <c r="AL103" s="1"/>
  <c r="I103"/>
  <c r="F103"/>
  <c r="D103"/>
  <c r="N100"/>
  <c r="M100"/>
  <c r="N99"/>
  <c r="M99"/>
  <c r="L28"/>
  <c r="AL28" s="1"/>
  <c r="M98"/>
  <c r="L84"/>
  <c r="AL84" s="1"/>
  <c r="I84"/>
  <c r="F84"/>
  <c r="M77"/>
  <c r="N77"/>
  <c r="M78"/>
  <c r="N78"/>
  <c r="M79"/>
  <c r="N79"/>
  <c r="M80"/>
  <c r="N80"/>
  <c r="M86"/>
  <c r="N86"/>
  <c r="M87"/>
  <c r="N87"/>
  <c r="M88"/>
  <c r="N88"/>
  <c r="M89"/>
  <c r="N89"/>
  <c r="M90"/>
  <c r="N90"/>
  <c r="M91"/>
  <c r="N91"/>
  <c r="M92"/>
  <c r="N92"/>
  <c r="M93"/>
  <c r="N93"/>
  <c r="M94"/>
  <c r="N94"/>
  <c r="N76"/>
  <c r="M76"/>
  <c r="N39"/>
  <c r="M39"/>
  <c r="I21"/>
  <c r="L21"/>
  <c r="AL21" s="1"/>
  <c r="L33"/>
  <c r="AL33" s="1"/>
  <c r="I33"/>
  <c r="F33"/>
  <c r="D21"/>
  <c r="L71"/>
  <c r="AL71" s="1"/>
  <c r="I71"/>
  <c r="F71"/>
  <c r="D71"/>
  <c r="F21"/>
  <c r="L11"/>
  <c r="L22" s="1"/>
  <c r="AL22" s="1"/>
  <c r="N29"/>
  <c r="M29"/>
  <c r="I35"/>
  <c r="M35"/>
  <c r="N34"/>
  <c r="M34"/>
  <c r="L8"/>
  <c r="AL8" s="1"/>
  <c r="I8"/>
  <c r="F8"/>
  <c r="L74"/>
  <c r="AL74" s="1"/>
  <c r="N73"/>
  <c r="M73"/>
  <c r="N72"/>
  <c r="M72"/>
  <c r="N69"/>
  <c r="M69"/>
  <c r="N68"/>
  <c r="M68"/>
  <c r="N67"/>
  <c r="M67"/>
  <c r="N65"/>
  <c r="M65"/>
  <c r="N64"/>
  <c r="M64"/>
  <c r="N63"/>
  <c r="M63"/>
  <c r="N62"/>
  <c r="M62"/>
  <c r="N61"/>
  <c r="M61"/>
  <c r="M121" l="1"/>
  <c r="L132"/>
  <c r="V127"/>
  <c r="F304"/>
  <c r="N35"/>
  <c r="I38"/>
  <c r="N38" s="1"/>
  <c r="I74"/>
  <c r="N74" s="1"/>
  <c r="I305"/>
  <c r="D305"/>
  <c r="F305"/>
  <c r="F307"/>
  <c r="I307"/>
  <c r="D307"/>
  <c r="M131"/>
  <c r="M127"/>
  <c r="N127"/>
  <c r="N131"/>
  <c r="N120"/>
  <c r="M120"/>
  <c r="N121"/>
  <c r="M17"/>
  <c r="N22"/>
  <c r="N11"/>
  <c r="M11"/>
  <c r="N83"/>
  <c r="M28"/>
  <c r="N84"/>
  <c r="M102"/>
  <c r="M103"/>
  <c r="N102"/>
  <c r="N103"/>
  <c r="N98"/>
  <c r="N28"/>
  <c r="M83"/>
  <c r="M84"/>
  <c r="M33"/>
  <c r="M38"/>
  <c r="M71"/>
  <c r="N71"/>
  <c r="N20"/>
  <c r="M21"/>
  <c r="N8"/>
  <c r="N33"/>
  <c r="M20"/>
  <c r="M97"/>
  <c r="N97"/>
  <c r="N21"/>
  <c r="M8"/>
  <c r="M46"/>
  <c r="N60"/>
  <c r="I70"/>
  <c r="N70" s="1"/>
  <c r="M60"/>
  <c r="M74"/>
  <c r="M70"/>
  <c r="M132" l="1"/>
  <c r="AL132"/>
  <c r="N132"/>
  <c r="M22"/>
  <c r="N46"/>
  <c r="C12" i="34" l="1"/>
  <c r="I304" i="5"/>
  <c r="N52"/>
  <c r="M52"/>
  <c r="N50"/>
  <c r="M50"/>
  <c r="N49"/>
  <c r="M49"/>
  <c r="N48"/>
  <c r="M48"/>
  <c r="N47"/>
  <c r="M47"/>
  <c r="L51"/>
  <c r="L53"/>
  <c r="M53" s="1"/>
  <c r="L54"/>
  <c r="M54" s="1"/>
  <c r="N5"/>
  <c r="M5"/>
  <c r="J20" l="1"/>
  <c r="J46"/>
  <c r="J83"/>
  <c r="J120"/>
  <c r="J207"/>
  <c r="J291"/>
  <c r="J38"/>
  <c r="J74"/>
  <c r="J111"/>
  <c r="J200"/>
  <c r="J279"/>
  <c r="J33"/>
  <c r="J70"/>
  <c r="J102"/>
  <c r="J165"/>
  <c r="J286"/>
  <c r="J28"/>
  <c r="J58"/>
  <c r="J97"/>
  <c r="J141"/>
  <c r="J269"/>
  <c r="M51"/>
  <c r="L58"/>
  <c r="AL58" s="1"/>
  <c r="N54"/>
  <c r="N51"/>
  <c r="N53"/>
  <c r="E14" i="14" l="1"/>
  <c r="M58" i="5"/>
  <c r="N58"/>
  <c r="C11" i="34" l="1"/>
  <c r="C13" s="1"/>
  <c r="F88" i="4"/>
  <c r="N78"/>
  <c r="M78"/>
  <c r="N77"/>
  <c r="M77"/>
  <c r="M72"/>
  <c r="N61"/>
  <c r="M59"/>
  <c r="N59"/>
  <c r="L60"/>
  <c r="N58"/>
  <c r="M58"/>
  <c r="N57"/>
  <c r="M57"/>
  <c r="N36"/>
  <c r="M36"/>
  <c r="N32"/>
  <c r="M32"/>
  <c r="M60" l="1"/>
  <c r="AO60"/>
  <c r="N60"/>
  <c r="L88"/>
  <c r="M61"/>
  <c r="I66"/>
  <c r="F66"/>
  <c r="M66" s="1"/>
  <c r="D66"/>
  <c r="N64"/>
  <c r="M64"/>
  <c r="N40"/>
  <c r="M40"/>
  <c r="M45"/>
  <c r="I45"/>
  <c r="N45" s="1"/>
  <c r="N26"/>
  <c r="M26"/>
  <c r="N25"/>
  <c r="M25"/>
  <c r="N24"/>
  <c r="M24"/>
  <c r="N22"/>
  <c r="M22"/>
  <c r="M30"/>
  <c r="N23"/>
  <c r="M23"/>
  <c r="M19"/>
  <c r="F20"/>
  <c r="D20"/>
  <c r="L20"/>
  <c r="C6" i="38" l="1"/>
  <c r="C6" i="36"/>
  <c r="C6" i="37"/>
  <c r="G6" i="33"/>
  <c r="AO88" i="4"/>
  <c r="G6" i="14"/>
  <c r="C5" i="38"/>
  <c r="C5" i="37"/>
  <c r="C5" i="36"/>
  <c r="G5" i="14"/>
  <c r="AO20" i="4"/>
  <c r="U67"/>
  <c r="P67"/>
  <c r="P68" s="1"/>
  <c r="R67"/>
  <c r="S67"/>
  <c r="Q67"/>
  <c r="W67"/>
  <c r="P88"/>
  <c r="P90" s="1"/>
  <c r="D9" i="34"/>
  <c r="L90" i="4"/>
  <c r="AO90" s="1"/>
  <c r="D90"/>
  <c r="F90"/>
  <c r="N30"/>
  <c r="M88"/>
  <c r="M20"/>
  <c r="N66"/>
  <c r="I16"/>
  <c r="N16" s="1"/>
  <c r="I19"/>
  <c r="N19" s="1"/>
  <c r="I14"/>
  <c r="N14" s="1"/>
  <c r="I12"/>
  <c r="N12" s="1"/>
  <c r="I13"/>
  <c r="N13" s="1"/>
  <c r="I15"/>
  <c r="N15" s="1"/>
  <c r="I11"/>
  <c r="K11" s="1"/>
  <c r="M6"/>
  <c r="M7"/>
  <c r="M8"/>
  <c r="M9"/>
  <c r="M10"/>
  <c r="M11"/>
  <c r="M14"/>
  <c r="M12"/>
  <c r="M13"/>
  <c r="M15"/>
  <c r="M16"/>
  <c r="M5"/>
  <c r="I2"/>
  <c r="I72" s="1"/>
  <c r="I88" s="1"/>
  <c r="C9" i="37" l="1"/>
  <c r="C9" i="36"/>
  <c r="C9" i="33"/>
  <c r="G9" s="1"/>
  <c r="G5"/>
  <c r="C9" i="38"/>
  <c r="R90" i="4"/>
  <c r="C9" i="14"/>
  <c r="C9" i="34"/>
  <c r="D7"/>
  <c r="C8"/>
  <c r="D8"/>
  <c r="M90" i="4"/>
  <c r="N72"/>
  <c r="N11"/>
  <c r="F15" i="34" l="1"/>
  <c r="F16" s="1"/>
  <c r="D6"/>
  <c r="D10" s="1"/>
  <c r="N88" i="4"/>
  <c r="N10"/>
  <c r="K10"/>
  <c r="N8"/>
  <c r="K8"/>
  <c r="K6"/>
  <c r="N6"/>
  <c r="I20"/>
  <c r="N5"/>
  <c r="K5"/>
  <c r="N7"/>
  <c r="K7"/>
  <c r="K9"/>
  <c r="N9"/>
  <c r="F9" i="14"/>
  <c r="F17" i="34" l="1"/>
  <c r="E15"/>
  <c r="E16" s="1"/>
  <c r="G9" i="14"/>
  <c r="I90" i="4"/>
  <c r="N90" s="1"/>
  <c r="C7" i="34"/>
  <c r="N20" i="4"/>
  <c r="E17" i="34" l="1"/>
  <c r="E9" i="14"/>
  <c r="L112" i="5"/>
  <c r="L304"/>
  <c r="C12" i="38" s="1"/>
  <c r="N109" i="5"/>
  <c r="L113"/>
  <c r="M109"/>
  <c r="M108"/>
  <c r="N108"/>
  <c r="C6" i="34" l="1"/>
  <c r="C10" s="1"/>
  <c r="C12" i="36"/>
  <c r="C12" i="37"/>
  <c r="G12" i="33"/>
  <c r="E16" i="14"/>
  <c r="H9"/>
  <c r="L307" i="5"/>
  <c r="C14" i="38" s="1"/>
  <c r="C15" s="1"/>
  <c r="AL113" i="5"/>
  <c r="L305"/>
  <c r="C13" i="38" s="1"/>
  <c r="AL112" i="5"/>
  <c r="G12" i="14"/>
  <c r="AL304" i="5"/>
  <c r="O38"/>
  <c r="O74"/>
  <c r="O111"/>
  <c r="O200"/>
  <c r="O291"/>
  <c r="O33"/>
  <c r="O70"/>
  <c r="O102"/>
  <c r="O165"/>
  <c r="O279"/>
  <c r="O28"/>
  <c r="O58"/>
  <c r="O97"/>
  <c r="O141"/>
  <c r="O20"/>
  <c r="O46"/>
  <c r="O83"/>
  <c r="O120"/>
  <c r="O207"/>
  <c r="O269"/>
  <c r="N304"/>
  <c r="M304"/>
  <c r="M311"/>
  <c r="M111"/>
  <c r="N111"/>
  <c r="M113"/>
  <c r="N113"/>
  <c r="M112"/>
  <c r="N112"/>
  <c r="E21" i="33" l="1"/>
  <c r="C25" i="38"/>
  <c r="C17"/>
  <c r="C13" i="36"/>
  <c r="C13" i="37"/>
  <c r="C14" i="36"/>
  <c r="C15" s="1"/>
  <c r="C25" s="1"/>
  <c r="C14" i="37"/>
  <c r="C15" s="1"/>
  <c r="G13" i="33"/>
  <c r="G14"/>
  <c r="M307" i="5"/>
  <c r="M305"/>
  <c r="G13" i="14"/>
  <c r="AL307" i="5"/>
  <c r="AL305"/>
  <c r="N307"/>
  <c r="N305"/>
  <c r="L309"/>
  <c r="AL309" s="1"/>
  <c r="D12" i="34"/>
  <c r="D11"/>
  <c r="F14" i="14"/>
  <c r="D13" i="34" l="1"/>
  <c r="C17"/>
  <c r="C15"/>
  <c r="C16" s="1"/>
  <c r="C17" i="36"/>
  <c r="C25" i="37"/>
  <c r="C17"/>
  <c r="C15" i="33"/>
  <c r="C17" s="1"/>
  <c r="C14" i="14"/>
  <c r="G14" s="1"/>
  <c r="F16"/>
  <c r="H14"/>
  <c r="D17" i="34"/>
  <c r="G15" i="33" l="1"/>
  <c r="C16" i="14"/>
  <c r="C25" l="1"/>
  <c r="C20" i="33"/>
  <c r="C23" s="1"/>
  <c r="C25" s="1"/>
  <c r="E20"/>
  <c r="E23" s="1"/>
  <c r="E25" s="1"/>
  <c r="E25" i="14"/>
  <c r="F20" i="33"/>
  <c r="F23" s="1"/>
  <c r="F25" s="1"/>
  <c r="F25" i="14"/>
</calcChain>
</file>

<file path=xl/comments1.xml><?xml version="1.0" encoding="utf-8"?>
<comments xmlns="http://schemas.openxmlformats.org/spreadsheetml/2006/main">
  <authors>
    <author>Obec Ondratice</author>
    <author>Ondratice</author>
  </authors>
  <commentList>
    <comment ref="BO1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spočítat - odhadnout psy
</t>
        </r>
      </text>
    </comment>
    <comment ref="AN1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předpokládaných 315 poplatníků</t>
        </r>
      </text>
    </comment>
    <comment ref="BO1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předpoklad: 333 poplatníků</t>
        </r>
      </text>
    </comment>
    <comment ref="CR14" authorId="0">
      <text>
        <r>
          <rPr>
            <b/>
            <sz val="9"/>
            <color indexed="81"/>
            <rFont val="Tahoma"/>
            <charset val="1"/>
          </rPr>
          <t>Obec Ondratice:</t>
        </r>
        <r>
          <rPr>
            <sz val="9"/>
            <color indexed="81"/>
            <rFont val="Tahoma"/>
            <charset val="1"/>
          </rPr>
          <t xml:space="preserve">
333 platících poplatníků</t>
        </r>
      </text>
    </comment>
    <comment ref="CR22" authorId="0">
      <text>
        <r>
          <rPr>
            <b/>
            <sz val="9"/>
            <color indexed="81"/>
            <rFont val="Tahoma"/>
            <charset val="1"/>
          </rPr>
          <t>Obec Ondratice:</t>
        </r>
        <r>
          <rPr>
            <sz val="9"/>
            <color indexed="81"/>
            <rFont val="Tahoma"/>
            <charset val="1"/>
          </rPr>
          <t xml:space="preserve">
na volbu prezidenta</t>
        </r>
      </text>
    </comment>
    <comment ref="BZ23" authorId="1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OL kraj: žádám Vás o opravu příspěvku na výkon státní správy pol. 4112. V rozpočtu máte částku ve výši 82 800,- kč, dle rozpisového dopisu Vám byla schválena částka ve výši 83 000,- Kč</t>
        </r>
      </text>
    </comment>
    <comment ref="CR23" authorId="0">
      <text>
        <r>
          <rPr>
            <b/>
            <sz val="9"/>
            <color indexed="81"/>
            <rFont val="Tahoma"/>
            <charset val="1"/>
          </rPr>
          <t>Obec Ondratice:</t>
        </r>
        <r>
          <rPr>
            <sz val="9"/>
            <color indexed="81"/>
            <rFont val="Tahoma"/>
            <charset val="1"/>
          </rPr>
          <t xml:space="preserve">
příspěvek na výkon státní správy</t>
        </r>
      </text>
    </comment>
    <comment ref="BO2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1.145.471,- dotace MMR na střechu č.p.31 (NEINV)</t>
        </r>
      </text>
    </comment>
    <comment ref="CU2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 Obchůdek 2022+ - schvaluje zastupitelstvo OL kraje 20.2.2023
</t>
        </r>
      </text>
    </comment>
    <comment ref="CR28" authorId="0">
      <text>
        <r>
          <rPr>
            <b/>
            <sz val="9"/>
            <color indexed="81"/>
            <rFont val="Tahoma"/>
            <charset val="1"/>
          </rPr>
          <t>Obec Ondratice:</t>
        </r>
        <r>
          <rPr>
            <sz val="9"/>
            <color indexed="81"/>
            <rFont val="Tahoma"/>
            <charset val="1"/>
          </rPr>
          <t xml:space="preserve">
241.888,89 schválená dotace na alej do pískovny - očekávané inkaso do konce března 2023
</t>
        </r>
      </text>
    </comment>
    <comment ref="Z3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AD3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AH3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všechny zemědělské pachty a pronájmy půdy dle smluv</t>
        </r>
      </text>
    </comment>
    <comment ref="BO3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zemědělské pachty</t>
        </r>
      </text>
    </comment>
    <comment ref="BO4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83.111,- podíly účastníků Z5 na nákladech  (Gp + katastr)
</t>
        </r>
      </text>
    </comment>
    <comment ref="BO5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150.000,- odhadovaný výnos z prodeje traktoru</t>
        </r>
      </text>
    </comment>
    <comment ref="CR5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prodej traktoru VEGA</t>
        </r>
      </text>
    </comment>
    <comment ref="Z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AD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AH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 (kiosek)
</t>
        </r>
      </text>
    </comment>
    <comment ref="BO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nezemědělské pronájmy
+kiosek</t>
        </r>
      </text>
    </comment>
    <comment ref="BO6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pronájem pískovny + sály
SOKOL</t>
        </r>
      </text>
    </comment>
    <comment ref="BO6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narovnávání hranic pozemků</t>
        </r>
      </text>
    </comment>
    <comment ref="CR64" authorId="0">
      <text>
        <r>
          <rPr>
            <b/>
            <sz val="9"/>
            <color indexed="81"/>
            <rFont val="Tahoma"/>
            <charset val="1"/>
          </rPr>
          <t>Obec Ondratice:</t>
        </r>
        <r>
          <rPr>
            <sz val="9"/>
            <color indexed="81"/>
            <rFont val="Tahoma"/>
            <charset val="1"/>
          </rPr>
          <t xml:space="preserve">
narovnávání hranic pozermků</t>
        </r>
      </text>
    </comment>
  </commentList>
</comments>
</file>

<file path=xl/comments2.xml><?xml version="1.0" encoding="utf-8"?>
<comments xmlns="http://schemas.openxmlformats.org/spreadsheetml/2006/main">
  <authors>
    <author>Obec Ondratice</author>
    <author>Ondratice</author>
  </authors>
  <commentLis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myslivci</t>
        </r>
      </text>
    </comment>
    <comment ref="AK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pasport komunikací</t>
        </r>
      </text>
    </comment>
    <comment ref="DC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oprava povrchů cest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 M01 Chaloupky</t>
        </r>
      </text>
    </comment>
    <comment ref="AK1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mostní provizorium (pořízní + nájem od 1.5.)
</t>
        </r>
      </text>
    </comment>
    <comment ref="BE1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550.000,- na opravu cesty ke křížku + 50.000,- oprava výtluků cesty ke křížku
</t>
        </r>
      </text>
    </comment>
    <comment ref="BH1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550.000,- na opravu cesty ke křížku + 50.000,- oprava výtluků cesty ke křížku
</t>
        </r>
      </text>
    </comment>
    <comment ref="BM1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30.000.- oprava výtluků
100.000,- srážka na konci Kozizólu + zatrubnění
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Most MO1 Chaloupky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projekt opravy MostuChaloupky</t>
        </r>
      </text>
    </comment>
    <comment ref="AK1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Hofman - PD M01</t>
        </r>
      </text>
    </comment>
    <comment ref="BM1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114.460,-  PD oprava mostku NELL projekt</t>
        </r>
      </text>
    </comment>
    <comment ref="DC15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PD Most Chaloupky</t>
        </r>
      </text>
    </comment>
    <comment ref="L1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revitalizace centra 2.etapa
zatím jen projekt - vlastní realizace pouze z dotace</t>
        </r>
      </text>
    </comment>
    <comment ref="AK1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10.900,- zpracování výběrového řízení na dodavatele opravy chodníků</t>
        </r>
      </text>
    </comment>
    <comment ref="AK2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dopravní značka ke kruháči</t>
        </r>
      </text>
    </comment>
    <comment ref="L35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závisí na rozhodnutí SKČOV  -  budme prosazovat stejné peníze jako v 2019
</t>
        </r>
      </text>
    </comment>
    <comment ref="AA3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děti po 6.000,-</t>
        </r>
      </text>
    </comment>
    <comment ref="AE3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děti po 6.000,-</t>
        </r>
      </text>
    </comment>
    <comment ref="AK3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rezerva na 2 děti po 6.000,-</t>
        </r>
      </text>
    </comment>
    <comment ref="BM4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roční přípsěvek na mladýho Tesárka</t>
        </r>
      </text>
    </comment>
    <comment ref="DC4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příspěvek Tesárek</t>
        </r>
      </text>
    </comment>
    <comment ref="H4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kronikářka</t>
        </r>
      </text>
    </comment>
    <comment ref="BM4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kronika</t>
        </r>
      </text>
    </comment>
    <comment ref="H4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doplatek za knihu Prostějovsko z nebe - akce L.Černýho</t>
        </r>
      </text>
    </comment>
    <comment ref="L5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zájezd</t>
        </r>
      </text>
    </comment>
    <comment ref="S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
</t>
        </r>
        <r>
          <rPr>
            <sz val="9"/>
            <color indexed="81"/>
            <rFont val="Tahoma"/>
            <family val="2"/>
            <charset val="238"/>
          </rPr>
          <t>zájezd zrušen</t>
        </r>
      </text>
    </comment>
    <comment ref="Y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
</t>
        </r>
        <r>
          <rPr>
            <sz val="9"/>
            <color indexed="81"/>
            <rFont val="Tahoma"/>
            <family val="2"/>
            <charset val="238"/>
          </rPr>
          <t>zájezd zrušen</t>
        </r>
      </text>
    </comment>
    <comment ref="BM5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zájezd
</t>
        </r>
      </text>
    </comment>
    <comment ref="Y5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7x občánek a 5.000
</t>
        </r>
      </text>
    </comment>
    <comment ref="BM5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novorozeňata:
Dáda Adamíková,
Látalovi, Vrchovi</t>
        </r>
      </text>
    </comment>
    <comment ref="B66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nově vloženo 2.3.2020
</t>
        </r>
      </text>
    </comment>
    <comment ref="AK6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výměna radiátoru</t>
        </r>
      </text>
    </comment>
    <comment ref="Y76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5.000,- n vnitřní vybavení těloscivčny (žíněnky) kostky)</t>
        </r>
      </text>
    </comment>
    <comment ref="BZ76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chemie nádrž, fólie a štěpka na herní kout u koupaliště
</t>
        </r>
      </text>
    </comment>
    <comment ref="C7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včetně napuštění nádrže</t>
        </r>
      </text>
    </comment>
    <comment ref="BZ7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úpravy terénu  - herní kout u nádrže</t>
        </r>
      </text>
    </comment>
    <comment ref="DC8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oprava zázemí horní hřiště (lavičky, stoly, bouda , pódium)</t>
        </r>
      </text>
    </comment>
    <comment ref="DC8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obnova části dolního dětského hřiště za podmínky získání dotace z OL kraje ve výši 50%
</t>
        </r>
      </text>
    </comment>
    <comment ref="C8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Horní hřiště a tělocvična čp.31
</t>
        </r>
      </text>
    </comment>
    <comment ref="C9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SOKOL</t>
        </r>
      </text>
    </comment>
    <comment ref="V10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položkový rozpočet(Říha)
</t>
        </r>
      </text>
    </comment>
    <comment ref="C10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nástavba nad obchod
</t>
        </r>
      </text>
    </comment>
    <comment ref="V10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vymalování WC + sál</t>
        </r>
      </text>
    </comment>
    <comment ref="AA105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žaluzie zasedačka
</t>
        </r>
      </text>
    </comment>
    <comment ref="AE105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žaluzie zasedačka
</t>
        </r>
      </text>
    </comment>
    <comment ref="DC10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smlouva ARTENDR:
PD + získání dotace akunádrže</t>
        </r>
      </text>
    </comment>
    <comment ref="L10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zasedačka v č.p.31, fasáda č.p.15 , střecha a schody zvoničky</t>
        </r>
      </text>
    </comment>
    <comment ref="S10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dopočítat na náklady na fasádu č.p.15</t>
        </r>
      </text>
    </comment>
    <comment ref="X10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orpava rozhlasu 6171/5171
</t>
        </r>
      </text>
    </comment>
    <comment ref="AK10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70.180 - odmena ARTENDR za dotaci na opravu střechy
35.000,- odvlhčení přízemí č.p.31
 + rezerva- pak sem příjde náklad na opravu střechy cca 1.3mio
</t>
        </r>
      </text>
    </comment>
    <comment ref="BM10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1.617.029 - oprava střechy č.p.31
náklady na Artendr: 5 měsíců 12.100,- řízení projektu a 36.300,- závěrečné vyhodnocení</t>
        </r>
      </text>
    </comment>
    <comment ref="L10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wc, akumulační nádrž - č.p.31</t>
        </r>
      </text>
    </comment>
    <comment ref="BM10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materiál na topení hospoda - tech.zhodnocení</t>
        </r>
      </text>
    </comment>
    <comment ref="DC10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akumulační nádrž ve dvoře staré školy  -pouze za předpokladu získání dotace ve výši 85%
</t>
        </r>
      </text>
    </comment>
    <comment ref="DD10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odhad nákladů akumulační nádrž ve dvoře staré školy  -pouze za předpokladu získání dotace ve výši 85%
</t>
        </r>
      </text>
    </comment>
    <comment ref="L11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vánoční osvětlení kapličky</t>
        </r>
      </text>
    </comment>
    <comment ref="S11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
</t>
        </r>
      </text>
    </comment>
    <comment ref="Y11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
</t>
        </r>
      </text>
    </comment>
    <comment ref="AA11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</t>
        </r>
      </text>
    </comment>
    <comment ref="AE11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osvětlení zvoničky</t>
        </r>
      </text>
    </comment>
    <comment ref="BM12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310.970.- Změna ÚZ  Ciznerová</t>
        </r>
      </text>
    </comment>
    <comment ref="DC12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dokončení Změny č.1 ÚP</t>
        </r>
      </text>
    </comment>
    <comment ref="BJ126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geodeti Z5</t>
        </r>
      </text>
    </comment>
    <comment ref="BM126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práce na PD Z5a  Z4 - sítě a veřejný prostor</t>
        </r>
      </text>
    </comment>
    <comment ref="DC126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PD Z4/Z5
</t>
        </r>
      </text>
    </comment>
    <comment ref="L12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projektová dokumentace Z4</t>
        </r>
      </text>
    </comment>
    <comment ref="BD12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Z4 úhrada za pozemek státu v rámci směny pozemků pro plochu v Z4</t>
        </r>
      </text>
    </comment>
    <comment ref="C13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Z4, Z5</t>
        </r>
      </text>
    </comment>
    <comment ref="DC135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SKO Respono + BRKO kompostárna</t>
        </r>
      </text>
    </comment>
    <comment ref="C13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AA13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AE13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BM13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 Otaslavice</t>
        </r>
      </text>
    </comment>
    <comment ref="DC13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Sběrný dvůr Otaslavice</t>
        </r>
      </text>
    </comment>
    <comment ref="L13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4ks kontejnery na bio</t>
        </r>
      </text>
    </comment>
    <comment ref="S13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kontejnery mebudou - žádost o dotaci neuspěla
</t>
        </r>
      </text>
    </comment>
    <comment ref="Y13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kontejnery nebudou - žádost o dotaci neuspěla
</t>
        </r>
      </text>
    </comment>
    <comment ref="AK138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3x kontejner BIO  čistý náklad obce po započtení dotace cca 8tis/kus
</t>
        </r>
      </text>
    </comment>
    <comment ref="BM14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Karel +VPP  =(12*19000+10000)+(12*16200)</t>
        </r>
      </text>
    </comment>
    <comment ref="BM14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brigádníci</t>
        </r>
      </text>
    </comment>
    <comment ref="S15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zatím čerpání nula - co tam patří, co je ještě nezbytně nutné pořídit
</t>
        </r>
      </text>
    </comment>
    <comment ref="BM15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kolíbková pila: 11.028
lavička ke křížku 6.000,-
</t>
        </r>
      </text>
    </comment>
    <comment ref="DC15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lavičky, koše - alej do pískovny  -+ koš u křížku</t>
        </r>
      </text>
    </comment>
    <comment ref="DC15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úroky traktor KIOTI</t>
        </r>
      </text>
    </comment>
    <comment ref="W155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vytvořerní paragrafu rezerva na krizové opatření
</t>
        </r>
      </text>
    </comment>
    <comment ref="AK155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26.500,-  deratizace</t>
        </r>
      </text>
    </comment>
    <comment ref="CH157" authorId="1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cesťák p. Kotrys</t>
        </r>
      </text>
    </comment>
    <comment ref="S1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nepatří sem i nákup čističe chodníků???</t>
        </r>
      </text>
    </comment>
    <comment ref="Y1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čistič chodníků</t>
        </r>
      </text>
    </comment>
    <comment ref="AK1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vysavač + 3x biokontejner</t>
        </r>
      </text>
    </comment>
    <comment ref="BM1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1 586 310,- nový traktor
35.400,- 3x biokontejner</t>
        </r>
      </text>
    </comment>
    <comment ref="BW1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nový štěpkovač</t>
        </r>
      </text>
    </comment>
    <comment ref="DC16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61.700,-  kontejner
</t>
        </r>
      </text>
    </comment>
    <comment ref="CH161" authorId="1">
      <text>
        <r>
          <rPr>
            <b/>
            <sz val="9"/>
            <color indexed="81"/>
            <rFont val="Tahoma"/>
            <family val="2"/>
            <charset val="238"/>
          </rPr>
          <t>Ondratice:</t>
        </r>
        <r>
          <rPr>
            <sz val="9"/>
            <color indexed="81"/>
            <rFont val="Tahoma"/>
            <family val="2"/>
            <charset val="238"/>
          </rPr>
          <t xml:space="preserve">
RZ traktor</t>
        </r>
      </text>
    </comment>
    <comment ref="DC16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zeleň kolem zvoničky</t>
        </r>
      </text>
    </comment>
    <comment ref="DC175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Linka bezpečí</t>
        </r>
      </text>
    </comment>
    <comment ref="C17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refundace platů</t>
        </r>
      </text>
    </comment>
    <comment ref="L18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zásahové hadice (1set)</t>
        </r>
      </text>
    </comment>
    <comment ref="S18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k již koupeným hadicím ještě 2x radiostanice celkem 12.000,-
</t>
        </r>
      </text>
    </comment>
    <comment ref="Y18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hadice a x radiostanice 
</t>
        </r>
      </text>
    </comment>
    <comment ref="BM18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agregát + označení zborjnice (s hasiči na půl)
</t>
        </r>
      </text>
    </comment>
    <comment ref="DC182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boty + zásahový oblek  - podána žádso o dotaci na Olkraj - možná dotace až 100%</t>
        </r>
      </text>
    </comment>
    <comment ref="BM18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Lak na vrata klempířskou + Primalex na garáž + barva na střechu
</t>
        </r>
      </text>
    </comment>
    <comment ref="DC18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nátěr plechů, nové označení hasičárny</t>
        </r>
      </text>
    </comment>
    <comment ref="DC19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50.000,-. Oprava hasičské nádrže</t>
        </r>
      </text>
    </comment>
    <comment ref="DC19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dotace: 10.000,- jako každý rok plus 10.000,- k výročí 100 let</t>
        </r>
      </text>
    </comment>
    <comment ref="L19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nové hasičské vozidlo - bude pořízeno s dotací 450tis  HZS a snad i 100t z OLkraje</t>
        </r>
      </text>
    </comment>
    <comment ref="C20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SDH + JSDH</t>
        </r>
      </text>
    </comment>
    <comment ref="BM23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úklid OÚ</t>
        </r>
      </text>
    </comment>
    <comment ref="DC239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úklid + brigádníci</t>
        </r>
      </text>
    </comment>
    <comment ref="AK24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Zákony pro lidi - přístup do webu</t>
        </r>
      </text>
    </comment>
    <comment ref="DC24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2 NB + příslušenství</t>
        </r>
      </text>
    </comment>
    <comment ref="C253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internet, telefony</t>
        </r>
      </text>
    </comment>
    <comment ref="BD257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120.000,- odahdované náklady na vyměření parcel na Z5 - mělo by proběhnout jesště do konce roku
</t>
        </r>
      </text>
    </comment>
    <comment ref="DC264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přestupková agenda</t>
        </r>
      </text>
    </comment>
    <comment ref="V28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dotace obchodu
</t>
        </r>
      </text>
    </comment>
    <comment ref="AK28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pokrytí nákladů LUNA</t>
        </r>
      </text>
    </comment>
    <comment ref="BM28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Obec Ondratice:  
</t>
        </r>
        <r>
          <rPr>
            <sz val="9"/>
            <color indexed="81"/>
            <rFont val="Tahoma"/>
            <family val="2"/>
            <charset val="238"/>
          </rPr>
          <t>podpora LUNY</t>
        </r>
      </text>
    </comment>
    <comment ref="DC280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prodejna LUNA</t>
        </r>
      </text>
    </comment>
    <comment ref="DC311" authorId="0">
      <text>
        <r>
          <rPr>
            <b/>
            <sz val="9"/>
            <color indexed="81"/>
            <rFont val="Tahoma"/>
            <family val="2"/>
            <charset val="238"/>
          </rPr>
          <t>Obec Ondratice:</t>
        </r>
        <r>
          <rPr>
            <sz val="9"/>
            <color indexed="81"/>
            <rFont val="Tahoma"/>
            <family val="2"/>
            <charset val="238"/>
          </rPr>
          <t xml:space="preserve">
zahrnuty výdaje: mzdové, energie, PHM, dlouhodobé smlouvy, splátky úvěru. 
Bez oprav, bez investic, bez poskytnutí darů</t>
        </r>
      </text>
    </comment>
  </commentList>
</comments>
</file>

<file path=xl/sharedStrings.xml><?xml version="1.0" encoding="utf-8"?>
<sst xmlns="http://schemas.openxmlformats.org/spreadsheetml/2006/main" count="1777" uniqueCount="604">
  <si>
    <t/>
  </si>
  <si>
    <t>Schválený</t>
  </si>
  <si>
    <t>Rozpočet</t>
  </si>
  <si>
    <t>Výsledek od</t>
  </si>
  <si>
    <t>Paragraf</t>
  </si>
  <si>
    <t>Položka</t>
  </si>
  <si>
    <t>Text</t>
  </si>
  <si>
    <t>rozpočet</t>
  </si>
  <si>
    <t>%</t>
  </si>
  <si>
    <t>po změnách</t>
  </si>
  <si>
    <t>počátku roku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</si>
  <si>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</si>
  <si>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</si>
  <si>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</si>
  <si>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</si>
  <si>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</si>
  <si>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</si>
  <si>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</si>
  <si>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</si>
  <si>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</si>
  <si>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</si>
  <si>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</si>
  <si>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</si>
  <si>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</si>
  <si>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</si>
  <si>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</si>
  <si>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1341</t>
  </si>
  <si>
    <t>Poplatek ze psů</t>
  </si>
  <si>
    <t>1343</t>
  </si>
  <si>
    <t>Poplatek za užívání veřejného prostranství</t>
  </si>
  <si>
    <t>1361</t>
  </si>
  <si>
    <t>Správní poplatky</t>
  </si>
  <si>
    <t>1381</t>
  </si>
  <si>
    <t>Daň z hazardních her s výjimkou dílčí daně z technic.her</t>
  </si>
  <si>
    <t>1511</t>
  </si>
  <si>
    <t>Daň z nemovitých věcí</t>
  </si>
  <si>
    <t>4111</t>
  </si>
  <si>
    <t>Neinvest.přij.transfery z všeob.pokl.správy stát.rozpočtu</t>
  </si>
  <si>
    <t>4112</t>
  </si>
  <si>
    <t>Neinv.přij.transfery ze st.rozp.v rámci souhrn.dotač.vzta</t>
  </si>
  <si>
    <t>4116</t>
  </si>
  <si>
    <t>Ostatní neinvestič.přijaté transfery ze stát.rozpočtu</t>
  </si>
  <si>
    <t>4122</t>
  </si>
  <si>
    <t>Neinvestiční přijaté transfery od krajů</t>
  </si>
  <si>
    <t>4216</t>
  </si>
  <si>
    <t>Ostatní investiční přijaté transfery ze stát. rozpočtu</t>
  </si>
  <si>
    <t>*</t>
  </si>
  <si>
    <t>000</t>
  </si>
  <si>
    <t>**</t>
  </si>
  <si>
    <t>1011</t>
  </si>
  <si>
    <t>2131</t>
  </si>
  <si>
    <t>Příjmy z pronájmu pozemků</t>
  </si>
  <si>
    <t>Udrž.výr.potenc.zeměd,zeměd.půd.fond a mimoprod.funkce zem.</t>
  </si>
  <si>
    <t>101</t>
  </si>
  <si>
    <t>Zeměděl. a potrav. činnost a rozvoj</t>
  </si>
  <si>
    <t>2119</t>
  </si>
  <si>
    <t>2343</t>
  </si>
  <si>
    <t>Příjmy dobíh.úhrad z dobýv.prostoru a z vydob.nerostů</t>
  </si>
  <si>
    <t>Ostatní záležitosti těžebního průmyslu a energetiky</t>
  </si>
  <si>
    <t>211</t>
  </si>
  <si>
    <t>Záležitosti těžebního průmyslu a energet.</t>
  </si>
  <si>
    <t>3639</t>
  </si>
  <si>
    <t>3111</t>
  </si>
  <si>
    <t>Příjmy z prodeje pozemků</t>
  </si>
  <si>
    <t>Komunální služby a územní rozvoj jinde nezařazené</t>
  </si>
  <si>
    <t>363</t>
  </si>
  <si>
    <t>Komunální služby a územní rozvoj</t>
  </si>
  <si>
    <t>3725</t>
  </si>
  <si>
    <t>2324</t>
  </si>
  <si>
    <t>Přijaté nekapitálové příspěvky a náhrady</t>
  </si>
  <si>
    <t>Využívání a zneškodňování komunálních odpadů</t>
  </si>
  <si>
    <t>372</t>
  </si>
  <si>
    <t>Nakládání s odpady</t>
  </si>
  <si>
    <t>3745</t>
  </si>
  <si>
    <t>Ostatní příjmy z vlastní činnosti</t>
  </si>
  <si>
    <t>Péče o vzhled obcí a veřejnou zeleň</t>
  </si>
  <si>
    <t>374</t>
  </si>
  <si>
    <t>Ochrana přírody a krajiny</t>
  </si>
  <si>
    <t>6171</t>
  </si>
  <si>
    <t>2111</t>
  </si>
  <si>
    <t>Příjmy z poskytování služeb a výrobků</t>
  </si>
  <si>
    <t>2112</t>
  </si>
  <si>
    <t>Příjmy z prodeje zboží (již nakoupeného za účelem prodeje</t>
  </si>
  <si>
    <t>2132</t>
  </si>
  <si>
    <t>Příjmy z pronájmu ostatních nemovitých věcí a jejich částí</t>
  </si>
  <si>
    <t>Činnost místní správy</t>
  </si>
  <si>
    <t>617</t>
  </si>
  <si>
    <t>Regionální a místní správa</t>
  </si>
  <si>
    <t>6310</t>
  </si>
  <si>
    <t>2141</t>
  </si>
  <si>
    <t>Příjmy z úroků (část)</t>
  </si>
  <si>
    <t>Obecné příjmy a výdaje z finančních operací</t>
  </si>
  <si>
    <t>631</t>
  </si>
  <si>
    <t>6330</t>
  </si>
  <si>
    <t>4134</t>
  </si>
  <si>
    <t>Převody z rozpočtových účtů</t>
  </si>
  <si>
    <t>4138</t>
  </si>
  <si>
    <t>Převody z vlastní pokladny</t>
  </si>
  <si>
    <t>Převody vlastním fondům v rozpočtech územní úrovně</t>
  </si>
  <si>
    <t>633</t>
  </si>
  <si>
    <t>Převody vlastním fondům v rozp.územní úrovně</t>
  </si>
  <si>
    <t>6409</t>
  </si>
  <si>
    <t>2328</t>
  </si>
  <si>
    <t>Neidentifikované příjmy</t>
  </si>
  <si>
    <t>Ostatní činnosti jinde nezařazené</t>
  </si>
  <si>
    <t>640</t>
  </si>
  <si>
    <t>Ostatní činnosti</t>
  </si>
  <si>
    <t>PŘÍJMY celkem:   ************************************************************</t>
  </si>
  <si>
    <t>1039</t>
  </si>
  <si>
    <t>5222</t>
  </si>
  <si>
    <t>Neinvestiční transfery spolkům</t>
  </si>
  <si>
    <t>Ostatní záležitosti lesního hospodářství</t>
  </si>
  <si>
    <t>103</t>
  </si>
  <si>
    <t>Lesní hospodářství</t>
  </si>
  <si>
    <t>2219</t>
  </si>
  <si>
    <t>5137</t>
  </si>
  <si>
    <t>Drobný hmotný dlouhodobý majetek</t>
  </si>
  <si>
    <t>5169</t>
  </si>
  <si>
    <t>Nákup ostatních služeb</t>
  </si>
  <si>
    <t>5171</t>
  </si>
  <si>
    <t>Opravy a udržování</t>
  </si>
  <si>
    <t>Ostatní záležitosti pozemních komunikací</t>
  </si>
  <si>
    <t>221</t>
  </si>
  <si>
    <t>Pozemní komunikace</t>
  </si>
  <si>
    <t>2292</t>
  </si>
  <si>
    <t>5339</t>
  </si>
  <si>
    <t>Neinvestiční transfery cizím příspěvkovým organizacím</t>
  </si>
  <si>
    <t>Dopravní obslužnost veřejnými službami</t>
  </si>
  <si>
    <t>229</t>
  </si>
  <si>
    <t>Ostatní činnost a nespecifikované výdaje v dopravě</t>
  </si>
  <si>
    <t>2321</t>
  </si>
  <si>
    <t>5329</t>
  </si>
  <si>
    <t>Ost.neinvest.transfery veřejným rozpočtům územní úrovně</t>
  </si>
  <si>
    <t>Odvádění a čištění odpadních vod a nakládání s kaly</t>
  </si>
  <si>
    <t>232</t>
  </si>
  <si>
    <t>Odvádění a čištění odpadních vod</t>
  </si>
  <si>
    <t>5321</t>
  </si>
  <si>
    <t>Neinvestiční transfery obcím</t>
  </si>
  <si>
    <t>Mateřské školy</t>
  </si>
  <si>
    <t>3113</t>
  </si>
  <si>
    <t>Základní školy</t>
  </si>
  <si>
    <t>311</t>
  </si>
  <si>
    <t>Předškolní a základní vzdělávání</t>
  </si>
  <si>
    <t>3319</t>
  </si>
  <si>
    <t>5021</t>
  </si>
  <si>
    <t>Ostatní osobní výdaje</t>
  </si>
  <si>
    <t>5136</t>
  </si>
  <si>
    <t>Knihy, učební pomůcky a tisk</t>
  </si>
  <si>
    <t>5139</t>
  </si>
  <si>
    <t>Nákup materiálu jinde nezařazený</t>
  </si>
  <si>
    <t>5175</t>
  </si>
  <si>
    <t>Pohoštění</t>
  </si>
  <si>
    <t>5194</t>
  </si>
  <si>
    <t>Věcné dary</t>
  </si>
  <si>
    <t>5492</t>
  </si>
  <si>
    <t>Dary obyvatelstvu</t>
  </si>
  <si>
    <t>Ostatní záležitosti kultury</t>
  </si>
  <si>
    <t>331</t>
  </si>
  <si>
    <t>Kultura</t>
  </si>
  <si>
    <t>5151</t>
  </si>
  <si>
    <t>Studená voda</t>
  </si>
  <si>
    <t>5153</t>
  </si>
  <si>
    <t>Plyn</t>
  </si>
  <si>
    <t>5154</t>
  </si>
  <si>
    <t>Elektrická energie</t>
  </si>
  <si>
    <t>5223</t>
  </si>
  <si>
    <t>Neinvestiční transfery církvím a náboženským společnostem</t>
  </si>
  <si>
    <t>3412</t>
  </si>
  <si>
    <t>Sportovní zařízení ve vlastnictví obce</t>
  </si>
  <si>
    <t>3419</t>
  </si>
  <si>
    <t>Ostatní sportovní činnost</t>
  </si>
  <si>
    <t>341</t>
  </si>
  <si>
    <t>Sport</t>
  </si>
  <si>
    <t>3612</t>
  </si>
  <si>
    <t>Bytové hospodářství</t>
  </si>
  <si>
    <t>3613</t>
  </si>
  <si>
    <t>Nebytové hospodářství</t>
  </si>
  <si>
    <t>3631</t>
  </si>
  <si>
    <t>Veřejné osvětlení</t>
  </si>
  <si>
    <t>3721</t>
  </si>
  <si>
    <t>Sběr a svoz nebezpečných odpadů</t>
  </si>
  <si>
    <t>3722</t>
  </si>
  <si>
    <t>Sběr a svoz komunálních odpadů</t>
  </si>
  <si>
    <t>3723</t>
  </si>
  <si>
    <t>Sběr a svoz ostatních odpadů (jiných než nebezp. a komunál.)</t>
  </si>
  <si>
    <t>5011</t>
  </si>
  <si>
    <t>Platy zaměstnanců v prac.pom. vyjma zaměst.na služ.místech</t>
  </si>
  <si>
    <t>5031</t>
  </si>
  <si>
    <t>Povin.pojistné na soc.zab.a příspěvek na st.politiku zamě</t>
  </si>
  <si>
    <t>5032</t>
  </si>
  <si>
    <t>Povinné pojistné na veřejné zdravotní pojištění</t>
  </si>
  <si>
    <t>5132</t>
  </si>
  <si>
    <t>Ochranné pomůcky</t>
  </si>
  <si>
    <t>5134</t>
  </si>
  <si>
    <t>Prádlo, oděv a obuv</t>
  </si>
  <si>
    <t>5156</t>
  </si>
  <si>
    <t>Pohonné hmoty a maziva</t>
  </si>
  <si>
    <t>5167</t>
  </si>
  <si>
    <t>Služby školení a vzdělávání</t>
  </si>
  <si>
    <t>5424</t>
  </si>
  <si>
    <t>Náhrady mezd v době nemoci</t>
  </si>
  <si>
    <t>6122</t>
  </si>
  <si>
    <t>Stroje, přístroje a zařízení</t>
  </si>
  <si>
    <t>5512</t>
  </si>
  <si>
    <t>5019</t>
  </si>
  <si>
    <t>Ostatní platy</t>
  </si>
  <si>
    <t>5039</t>
  </si>
  <si>
    <t>Ostatní povinné pojistné placené zaměstnavatelem</t>
  </si>
  <si>
    <t>5173</t>
  </si>
  <si>
    <t>Cestovné</t>
  </si>
  <si>
    <t>6121</t>
  </si>
  <si>
    <t>Budovy, haly a stavby</t>
  </si>
  <si>
    <t>6123</t>
  </si>
  <si>
    <t>Dopravní prostředky</t>
  </si>
  <si>
    <t>Požární ochrana - dobrovolná část</t>
  </si>
  <si>
    <t>551</t>
  </si>
  <si>
    <t>Požární ochrana</t>
  </si>
  <si>
    <t>6112</t>
  </si>
  <si>
    <t>5023</t>
  </si>
  <si>
    <t>Odměny členů zastupitelstev obcí a krajů</t>
  </si>
  <si>
    <t>Zastupitelstva obcí</t>
  </si>
  <si>
    <t>6117</t>
  </si>
  <si>
    <t>5161</t>
  </si>
  <si>
    <t>Poštovní služby</t>
  </si>
  <si>
    <t>Volby do Evropského parlamentu</t>
  </si>
  <si>
    <t>611</t>
  </si>
  <si>
    <t>Zastupitelské orgány</t>
  </si>
  <si>
    <t>5038</t>
  </si>
  <si>
    <t>Povinné pojistné na úrazové pojištění</t>
  </si>
  <si>
    <t>5133</t>
  </si>
  <si>
    <t>Léky a zdravotnický materiál</t>
  </si>
  <si>
    <t>5162</t>
  </si>
  <si>
    <t>Služby elektronických komunikací</t>
  </si>
  <si>
    <t>5163</t>
  </si>
  <si>
    <t>Služby peněžních ústavů</t>
  </si>
  <si>
    <t>5172</t>
  </si>
  <si>
    <t>Programové vybavení</t>
  </si>
  <si>
    <t>5191</t>
  </si>
  <si>
    <t>Zaplacené sankce</t>
  </si>
  <si>
    <t>6320</t>
  </si>
  <si>
    <t>Pojištění funkčně nespecifikované</t>
  </si>
  <si>
    <t>632</t>
  </si>
  <si>
    <t>5341</t>
  </si>
  <si>
    <t>Převody vlastním fondům hospodářské (podnikatel.) činnost</t>
  </si>
  <si>
    <t>5344</t>
  </si>
  <si>
    <t>Převody vlastním rezervním fondům územních rozpočtů</t>
  </si>
  <si>
    <t>5345</t>
  </si>
  <si>
    <t>Převody vlastním rozpočtovým účtům</t>
  </si>
  <si>
    <t>5348</t>
  </si>
  <si>
    <t>Převody do vlastní pokladny</t>
  </si>
  <si>
    <t>6399</t>
  </si>
  <si>
    <t>5362</t>
  </si>
  <si>
    <t>Platby daní a poplatků státnímu rozpočtu</t>
  </si>
  <si>
    <t>5365</t>
  </si>
  <si>
    <t>Platby daní a poplatků krajům,obcím a státním fondům</t>
  </si>
  <si>
    <t>Ostatní finanční operace</t>
  </si>
  <si>
    <t>639</t>
  </si>
  <si>
    <t>6402</t>
  </si>
  <si>
    <t>5364</t>
  </si>
  <si>
    <t>Vratky transferů poskytnutých z veř.rozpočtů ústř.úrovně</t>
  </si>
  <si>
    <t>Finanční vypořádání minulých let</t>
  </si>
  <si>
    <t>5229</t>
  </si>
  <si>
    <t>Ost.neinvestiční transfery neziskovým a podob. organizací</t>
  </si>
  <si>
    <t>VÝDAJE celkem:   ************************************************************</t>
  </si>
  <si>
    <t>Název</t>
  </si>
  <si>
    <t>PŘÍJMY CELKEM</t>
  </si>
  <si>
    <t>VÝDAJE CELKEM</t>
  </si>
  <si>
    <t>PŘÍJMY</t>
  </si>
  <si>
    <t>Kč</t>
  </si>
  <si>
    <t>DAŇOVÉ</t>
  </si>
  <si>
    <t>1xxx</t>
  </si>
  <si>
    <t>NEDAŇOVÉ</t>
  </si>
  <si>
    <t>2xxx</t>
  </si>
  <si>
    <t>KAPITÁLOVÉ</t>
  </si>
  <si>
    <t>3xxx</t>
  </si>
  <si>
    <t>PŘIJATÉ TRANSFERY</t>
  </si>
  <si>
    <t>4xxx</t>
  </si>
  <si>
    <t>VÝDAJE</t>
  </si>
  <si>
    <t>BĚŽNÉ VÝDAJE</t>
  </si>
  <si>
    <t>5xxxx</t>
  </si>
  <si>
    <t>KAPITÁLOVÉ VÝDAJE</t>
  </si>
  <si>
    <t>6xxx</t>
  </si>
  <si>
    <t>SALDO ROZPOČTU (PŘÍJMY - VÝDAJE)</t>
  </si>
  <si>
    <t>FINANCOVÁNÍ</t>
  </si>
  <si>
    <t>Zdroje z minulých let</t>
  </si>
  <si>
    <t xml:space="preserve">Výsledek </t>
  </si>
  <si>
    <t>1-10/2019</t>
  </si>
  <si>
    <t>Rozpis rozpočtových příjmů</t>
  </si>
  <si>
    <t>Rozpis rozpočtových výdajů</t>
  </si>
  <si>
    <t>forecast</t>
  </si>
  <si>
    <t>2019</t>
  </si>
  <si>
    <t>vývoj orzp.</t>
  </si>
  <si>
    <t>20/19</t>
  </si>
  <si>
    <t xml:space="preserve">vývoj </t>
  </si>
  <si>
    <t>20/odhad 19</t>
  </si>
  <si>
    <t>vývoj rozp.</t>
  </si>
  <si>
    <t xml:space="preserve">Daňové příjmy celkem </t>
  </si>
  <si>
    <t>Přijaté transfery celkem</t>
  </si>
  <si>
    <t>lokalita Z4</t>
  </si>
  <si>
    <t xml:space="preserve">prodeje pozemků v obci </t>
  </si>
  <si>
    <t>Kapitálové příjmy celkem</t>
  </si>
  <si>
    <t>2212</t>
  </si>
  <si>
    <t>Silnice</t>
  </si>
  <si>
    <t>2223</t>
  </si>
  <si>
    <t>Bezpečnost silničního provozu</t>
  </si>
  <si>
    <t>2229</t>
  </si>
  <si>
    <t>Ostatní záležitosti v silniční dopravě</t>
  </si>
  <si>
    <t>222</t>
  </si>
  <si>
    <t>Silniční doprava</t>
  </si>
  <si>
    <t>6113</t>
  </si>
  <si>
    <t>Nehmotné výsledky výzkumné a obdobné činnosti</t>
  </si>
  <si>
    <t>5041</t>
  </si>
  <si>
    <t>Odměny za užití duševního vlastnictví</t>
  </si>
  <si>
    <t>01 -19.11./2019</t>
  </si>
  <si>
    <t>rozhlas</t>
  </si>
  <si>
    <t>eko-kom</t>
  </si>
  <si>
    <t>ZEVAS, Tomášek, Vystavěl</t>
  </si>
  <si>
    <t>kiosek</t>
  </si>
  <si>
    <t>hospoda, sály, tělocvična</t>
  </si>
  <si>
    <t>Nedaňové příjmy celkem</t>
  </si>
  <si>
    <t>5xxx</t>
  </si>
  <si>
    <t>Běžné výdaje celkem</t>
  </si>
  <si>
    <t>z toho opravy celkem</t>
  </si>
  <si>
    <t>Kapitálové výdaje celkem</t>
  </si>
  <si>
    <t>SPOZ celkem</t>
  </si>
  <si>
    <t>Činnosti knihovnické celkem</t>
  </si>
  <si>
    <t>3314</t>
  </si>
  <si>
    <t>3330</t>
  </si>
  <si>
    <t>Činnosti registrovaných církví a náboženských společností</t>
  </si>
  <si>
    <t>Dopravní obslužnost - příspěvek  KIDSOKu</t>
  </si>
  <si>
    <t>mandatorní výdaje</t>
  </si>
  <si>
    <t>Budovy, haly , stavby</t>
  </si>
  <si>
    <t>Pozemní komunikace opravy</t>
  </si>
  <si>
    <t>Pozemní komunikace investice</t>
  </si>
  <si>
    <t>Činnosti knihovnické opravy</t>
  </si>
  <si>
    <t>mandatorní</t>
  </si>
  <si>
    <t>M</t>
  </si>
  <si>
    <t>Horní hřiště opravy</t>
  </si>
  <si>
    <t>SOKOL opravy</t>
  </si>
  <si>
    <t>Nástavba nad obchod  investice</t>
  </si>
  <si>
    <t>Nebytové hospodářství náklady celkem</t>
  </si>
  <si>
    <t>Nebytové hospodářství opravy</t>
  </si>
  <si>
    <t>Nebytové hospodářství investice</t>
  </si>
  <si>
    <t>Veřejné osvětlení opravy</t>
  </si>
  <si>
    <t>Lokality Z4, Z5 investice</t>
  </si>
  <si>
    <t>Sběr a svoz komunálních odpadů celkem</t>
  </si>
  <si>
    <t>Veřejná zeleň náklady celkem</t>
  </si>
  <si>
    <t>Veřejná zeleň opravy</t>
  </si>
  <si>
    <t>Veřejná zeleň  investice</t>
  </si>
  <si>
    <t>SDH + JSDHopravy</t>
  </si>
  <si>
    <t>SDH + JSDH investice</t>
  </si>
  <si>
    <t>Sběr a svoz komunálních odpadů investice</t>
  </si>
  <si>
    <t>Zastupitelstvo náklady celkem</t>
  </si>
  <si>
    <t>volby do EU nebudou</t>
  </si>
  <si>
    <t>6115</t>
  </si>
  <si>
    <t>Obecní úřad náklady celkem</t>
  </si>
  <si>
    <t>Obecní úřad opravy</t>
  </si>
  <si>
    <t>Služby peněžních ústavů celkem</t>
  </si>
  <si>
    <t>Pojištění  celkem</t>
  </si>
  <si>
    <t>Převod mezi účty  celkem</t>
  </si>
  <si>
    <t>vratky z voleb, příspěvky svazkům  celkem</t>
  </si>
  <si>
    <t>Daně  celkem</t>
  </si>
  <si>
    <t>*5171</t>
  </si>
  <si>
    <t>Dlouhodobý úvěr</t>
  </si>
  <si>
    <t>FINANCOVÁNÍ CELKEM</t>
  </si>
  <si>
    <t>BALANCE</t>
  </si>
  <si>
    <t>pískovna - těžaři + báňský úřad</t>
  </si>
  <si>
    <t>Úspora pro příští období</t>
  </si>
  <si>
    <t>Pozemní komunikace  celkem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</si>
  <si>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</si>
  <si>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</si>
  <si>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</si>
  <si>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</si>
  <si>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</si>
  <si>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</si>
  <si>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</si>
  <si>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Finanční transfery</t>
  </si>
  <si>
    <t>Příjmy celkem</t>
  </si>
  <si>
    <t>Třída 5</t>
  </si>
  <si>
    <t>Běžné výdaje</t>
  </si>
  <si>
    <t>Třída 6</t>
  </si>
  <si>
    <t>Kapitálové výdaje</t>
  </si>
  <si>
    <t>Výdaje celkem</t>
  </si>
  <si>
    <t>Třída 8</t>
  </si>
  <si>
    <t>Příjmy z financování</t>
  </si>
  <si>
    <t>Financování celkem</t>
  </si>
  <si>
    <t>Balance</t>
  </si>
  <si>
    <t xml:space="preserve">Sňato: </t>
  </si>
  <si>
    <t>Návrh střednědobého výhledu rozpočtu obce Ondratice</t>
  </si>
  <si>
    <t xml:space="preserve">Návrh střednědobého výhledu </t>
  </si>
  <si>
    <t>Příjmy cekem</t>
  </si>
  <si>
    <t>Výdaje z financování</t>
  </si>
  <si>
    <t>podíl na běžných výdajích</t>
  </si>
  <si>
    <t>zmenit na 571.000,-</t>
  </si>
  <si>
    <t>REFORECAST</t>
  </si>
  <si>
    <t>5168</t>
  </si>
  <si>
    <t>Zpracování dat a služby související s infmor a kom.</t>
  </si>
  <si>
    <t>5213</t>
  </si>
  <si>
    <t>Vytvoření rezervy</t>
  </si>
  <si>
    <t>Krizové opatření</t>
  </si>
  <si>
    <t>lokalita Z5</t>
  </si>
  <si>
    <t>RO1</t>
  </si>
  <si>
    <t>5212</t>
  </si>
  <si>
    <t>5903</t>
  </si>
  <si>
    <t>Rezerva na krizová opatření</t>
  </si>
  <si>
    <t>Ochrana obyvatelstva</t>
  </si>
  <si>
    <t>521</t>
  </si>
  <si>
    <t>6130</t>
  </si>
  <si>
    <t>Pozemky</t>
  </si>
  <si>
    <t>skut 06</t>
  </si>
  <si>
    <t>Návrh RO2 - covid</t>
  </si>
  <si>
    <t>RO2</t>
  </si>
  <si>
    <t>RO2/RO1</t>
  </si>
  <si>
    <t>RO2-RO1</t>
  </si>
  <si>
    <t>Investiční přijaté transfery od krajů</t>
  </si>
  <si>
    <t>4222</t>
  </si>
  <si>
    <t>RO3</t>
  </si>
  <si>
    <t>Obecní úřad</t>
  </si>
  <si>
    <t>RO4</t>
  </si>
  <si>
    <t>Příjmy z vlastní činnosti jinde nespecifikované(dále j.n.</t>
  </si>
  <si>
    <t>Příjmy z prodeje ostatního hmotného dlouhodobého majetku</t>
  </si>
  <si>
    <t>prodej hasičské vozíku</t>
  </si>
  <si>
    <t>prodej hasičského auta AVIA</t>
  </si>
  <si>
    <t>2133</t>
  </si>
  <si>
    <t>Příjmy z pronájmu movitých věcí</t>
  </si>
  <si>
    <t>Platby daní a poplatků krajům,obcím a st.f (přihl.auta)</t>
  </si>
  <si>
    <t>Zpracování dat,  aktualizace, udr. popl.</t>
  </si>
  <si>
    <t>5363</t>
  </si>
  <si>
    <t>Úhrady sankcí jiným rozpočtům (pokuta)</t>
  </si>
  <si>
    <t>zemědělské pachty</t>
  </si>
  <si>
    <t>hospoda, sály (i SOKOL)</t>
  </si>
  <si>
    <t xml:space="preserve">ZEVAS </t>
  </si>
  <si>
    <t>do 30.11.</t>
  </si>
  <si>
    <t>Tomášek</t>
  </si>
  <si>
    <t>Vystavěl</t>
  </si>
  <si>
    <t>1.10.</t>
  </si>
  <si>
    <t>splatné:</t>
  </si>
  <si>
    <t xml:space="preserve">Polách </t>
  </si>
  <si>
    <t>31.3.</t>
  </si>
  <si>
    <t>od 1.10.20: Orálek/Vystavěl</t>
  </si>
  <si>
    <t>změna RO4-RO3</t>
  </si>
  <si>
    <t xml:space="preserve">    </t>
  </si>
  <si>
    <t>RO5</t>
  </si>
  <si>
    <t>změna RO5-RO4</t>
  </si>
  <si>
    <t>5042</t>
  </si>
  <si>
    <t>Odměny za užití počítačových programů</t>
  </si>
  <si>
    <t>RO6</t>
  </si>
  <si>
    <t>změna RO6-RO5</t>
  </si>
  <si>
    <t>FINAL</t>
  </si>
  <si>
    <t>1385</t>
  </si>
  <si>
    <t>Dílčí daň z technických her</t>
  </si>
  <si>
    <t>2310</t>
  </si>
  <si>
    <t>Příjmy z prodeje krátkodob.majetku a drob.dlouhodob.majet</t>
  </si>
  <si>
    <t>0001</t>
  </si>
  <si>
    <t>plnění %</t>
  </si>
  <si>
    <t>schválený rozpočet 2020</t>
  </si>
  <si>
    <t>skutečnost 2020</t>
  </si>
  <si>
    <t>Rozpočet 2020 po změnách</t>
  </si>
  <si>
    <t>návrh</t>
  </si>
  <si>
    <t>změna pro R20</t>
  </si>
  <si>
    <t>změna proti skut20</t>
  </si>
  <si>
    <t>změna protio původnímu R20</t>
  </si>
  <si>
    <t>6114</t>
  </si>
  <si>
    <t>Volby do Parlamentu ČR</t>
  </si>
  <si>
    <t xml:space="preserve">  </t>
  </si>
  <si>
    <t xml:space="preserve">             z toho: opravy a udržování</t>
  </si>
  <si>
    <t>Celkem daně od státu</t>
  </si>
  <si>
    <t xml:space="preserve">   </t>
  </si>
  <si>
    <t>Mgr.Bohuslav Koštanský v.r.</t>
  </si>
  <si>
    <t>starosta obce Ondratice</t>
  </si>
  <si>
    <t xml:space="preserve"> </t>
  </si>
  <si>
    <t>Rozpočet obce Ondratice pro rok 2021</t>
  </si>
  <si>
    <t>Střednědobý výhled rozpočtu obce Ondratice</t>
  </si>
  <si>
    <t>změna rozpisu č.1</t>
  </si>
  <si>
    <t>změna</t>
  </si>
  <si>
    <t>stav po změně</t>
  </si>
  <si>
    <t>Rozpočtové opatření č.1</t>
  </si>
  <si>
    <t>Rozpočtové opatření č.1 schváleno rozhodnutím starosty dne 6.5.2021</t>
  </si>
  <si>
    <t>schválený rozpočet 2021</t>
  </si>
  <si>
    <t>změna rozpočtu</t>
  </si>
  <si>
    <t>stav rozpočtu po změně</t>
  </si>
  <si>
    <t>Rozpočet schválen zastupitelstvem obce Ondratice usnesením č. 4b) dne 26.3.2021</t>
  </si>
  <si>
    <t>5299</t>
  </si>
  <si>
    <t>Ostatní záležitosti civilní připravenosti na krizové stavy</t>
  </si>
  <si>
    <t>Rozpočtové opatření č.2 schváleno rozhodnutím starosty dne 29.6.2021</t>
  </si>
  <si>
    <t>Rozpočtové opatření č.2</t>
  </si>
  <si>
    <t>Vyvěšeno na úřední desce:   30.6.2021</t>
  </si>
  <si>
    <t>Vyvěšeno na úřední desce:   30.7.2021</t>
  </si>
  <si>
    <t>Rozpočtové opatření č.3 schváleno rozhodnutím starosty dne 30.7.2021</t>
  </si>
  <si>
    <t>Rozpočtové opatření č.3</t>
  </si>
  <si>
    <t>3114</t>
  </si>
  <si>
    <t>5221</t>
  </si>
  <si>
    <t>Neinvestiční transfery obecně prospěšným spole</t>
  </si>
  <si>
    <t>Základní školy pro žáky se speciálními vzdělávacíámi potřebami</t>
  </si>
  <si>
    <t>Drobný dlouhodobý hmotný majetek</t>
  </si>
  <si>
    <t>změna rozpisu 3.8.21</t>
  </si>
  <si>
    <t>Rozpočtové opatření č.4</t>
  </si>
  <si>
    <t>2142</t>
  </si>
  <si>
    <t>Příjmy z podílů na zisku a dividend</t>
  </si>
  <si>
    <t>Rozpočtové opatření č.4 schváleno usnesením zastupitelstva dne 12.11.2021</t>
  </si>
  <si>
    <t>Vyvěšeno na úřední desce:   16.11.2021</t>
  </si>
  <si>
    <t>změna rozpisu 21.12.21</t>
  </si>
  <si>
    <t>3636</t>
  </si>
  <si>
    <t>Platby daní  krajům, obcím a státním institucím</t>
  </si>
  <si>
    <t>5909</t>
  </si>
  <si>
    <t>Ostatní neinvestiční výdaje jinde nazařazené</t>
  </si>
  <si>
    <t>FIN/ROZP</t>
  </si>
  <si>
    <t>22/21FIN</t>
  </si>
  <si>
    <t>22/21 rozp</t>
  </si>
  <si>
    <t>návrh/FIN21</t>
  </si>
  <si>
    <t>Rozpočet 2021 po změnách</t>
  </si>
  <si>
    <t>skutečnost 2021</t>
  </si>
  <si>
    <t>R22/R21</t>
  </si>
  <si>
    <t>R22/S21</t>
  </si>
  <si>
    <t>Územní rozvoj</t>
  </si>
  <si>
    <t>na období 2023 - 2024</t>
  </si>
  <si>
    <t xml:space="preserve">Vyvěšeno na úřední desce:   </t>
  </si>
  <si>
    <t>Rozpočet obce Ondratice pro rok 2022</t>
  </si>
  <si>
    <t>Rozpočet 2022</t>
  </si>
  <si>
    <t xml:space="preserve">Schváleno zastupitelstvem obce Ondratice usnesením č.  dne </t>
  </si>
  <si>
    <t xml:space="preserve">Vyvěšeno na úřední desce:  </t>
  </si>
  <si>
    <t>Schválený Rozpočet</t>
  </si>
  <si>
    <t>Schváleno zastupitelstvem obce Ondratice usnesením č.     Dne</t>
  </si>
  <si>
    <t>Volby do zastupitlelstev USC</t>
  </si>
  <si>
    <t>výtluky</t>
  </si>
  <si>
    <t>2329</t>
  </si>
  <si>
    <t>Ostatní nedaňové příjmy jinde nezařazené</t>
  </si>
  <si>
    <t>CELKEM</t>
  </si>
  <si>
    <t>Obchůdek+</t>
  </si>
  <si>
    <t>podpora LUNA</t>
  </si>
  <si>
    <t>Převody mezi účty</t>
  </si>
  <si>
    <t>OLkraj</t>
  </si>
  <si>
    <t>elektrocentrála</t>
  </si>
  <si>
    <t>JSDH</t>
  </si>
  <si>
    <t>nový traktor</t>
  </si>
  <si>
    <t>Veřejná zeleň</t>
  </si>
  <si>
    <t>aktiualizace územního plánu</t>
  </si>
  <si>
    <t>materiály topení hospoda</t>
  </si>
  <si>
    <t>MMR</t>
  </si>
  <si>
    <t>oprava střechy</t>
  </si>
  <si>
    <t>zájezd</t>
  </si>
  <si>
    <t>SPOZ</t>
  </si>
  <si>
    <t>PD Mostek Chaloupky</t>
  </si>
  <si>
    <t>srážka Kozizól + zatrubnění</t>
  </si>
  <si>
    <t>oprava výtluků</t>
  </si>
  <si>
    <t>žádost o dotaci OL</t>
  </si>
  <si>
    <t>3x biokontejner</t>
  </si>
  <si>
    <t>po odečtení 85% dotace MAS</t>
  </si>
  <si>
    <t>Lokality Z4, Z5</t>
  </si>
  <si>
    <t>PD sítě</t>
  </si>
  <si>
    <t>80000 na parcelu</t>
  </si>
  <si>
    <t>dětské hřiště</t>
  </si>
  <si>
    <t>doplnit částku z žádosti o dotaci</t>
  </si>
  <si>
    <t>paragraf</t>
  </si>
  <si>
    <t>Nadace ČEZ - žádosti nevyhověno</t>
  </si>
  <si>
    <t>schváleno</t>
  </si>
  <si>
    <t>1345</t>
  </si>
  <si>
    <t xml:space="preserve">Příjem z poplatku za obecní systém odpadového hospodářství a příjem z poplatku za odkládání komunálního odpadu z nemovité věci. </t>
  </si>
  <si>
    <t>Ostatní neinvestiční transfery rozpočtům územní úrovně</t>
  </si>
  <si>
    <t>5219</t>
  </si>
  <si>
    <t>Neinvestiční transfery fundacím, ústavům a obecně prospěšným společnostem</t>
  </si>
  <si>
    <t>změna rozpisu č.2</t>
  </si>
  <si>
    <t>Přijaté neinvestiční příspěvky a náhrady</t>
  </si>
  <si>
    <t>4213</t>
  </si>
  <si>
    <t>Investiční přijaté transfery ze státních fondů</t>
  </si>
  <si>
    <t>5141</t>
  </si>
  <si>
    <t>Úroky vlastní</t>
  </si>
  <si>
    <t>změna rozpisu č.3</t>
  </si>
  <si>
    <t>přečerpání k 17.10.</t>
  </si>
  <si>
    <t>změna rozpisu č.4</t>
  </si>
  <si>
    <t>změna rozpisu č.5</t>
  </si>
  <si>
    <t>6124</t>
  </si>
  <si>
    <t>Pěstitelské celky trvalých porostů</t>
  </si>
  <si>
    <t>Návrh rozpočtu obce Ondratice pro rok 2023</t>
  </si>
  <si>
    <t>na období 2024 - 2025</t>
  </si>
  <si>
    <t>bude splaceno k 31.3.2029</t>
  </si>
  <si>
    <t>návrh rozpočtu 2023</t>
  </si>
  <si>
    <t>R23/R22</t>
  </si>
  <si>
    <t>schválený rozpočet 2022</t>
  </si>
  <si>
    <t>Rozpočet 2022 po změnách</t>
  </si>
  <si>
    <t>skutečnost 2022</t>
  </si>
  <si>
    <t>R23/S22</t>
  </si>
  <si>
    <t>RO7</t>
  </si>
  <si>
    <t>1382</t>
  </si>
  <si>
    <t>Příjem ze zrušeného odvodu z loterií a podobných her kromě odvodu z výherních hracích přístrojů</t>
  </si>
  <si>
    <t>Uhrazené splátky dlouhodobého úvěrupřijatých půjčených prostředků</t>
  </si>
  <si>
    <t>návrh/FIN22</t>
  </si>
  <si>
    <t>6114-8</t>
  </si>
  <si>
    <t>6118</t>
  </si>
  <si>
    <t>Volby (prezidenta)</t>
  </si>
  <si>
    <t>5323</t>
  </si>
  <si>
    <t>Neinvenstiční transfery krajům</t>
  </si>
  <si>
    <t>starosta</t>
  </si>
  <si>
    <t>místostarosta</t>
  </si>
  <si>
    <t>předseda FK</t>
  </si>
  <si>
    <t>předseda KK</t>
  </si>
  <si>
    <t>členové</t>
  </si>
  <si>
    <t>6129</t>
  </si>
  <si>
    <t>Nákup dlouhodobé hmotného majetku jinde nezařazeného</t>
  </si>
  <si>
    <t>ověřit, zda-li bude schváleno - pak už rovnou dát do rozpočtu,aby se nemuselo dělat RO</t>
  </si>
  <si>
    <t xml:space="preserve">Skutečnost </t>
  </si>
  <si>
    <t xml:space="preserve">Návrh rozpočtu </t>
  </si>
  <si>
    <t>Vyvěšeno na úřední desce: 8.2.2023</t>
  </si>
  <si>
    <t>Vyvěšeno na úřední desce:  8.2.2023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</si>
</sst>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%"/>
  </numFmts>
  <fonts count="3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fom"/>
      <charset val="238"/>
    </font>
    <font>
      <b/>
      <sz val="12"/>
      <color theme="1"/>
      <name val="Tafom"/>
      <charset val="238"/>
    </font>
    <font>
      <b/>
      <sz val="18"/>
      <color theme="1"/>
      <name val="Tafom"/>
      <charset val="238"/>
    </font>
    <font>
      <sz val="11"/>
      <color theme="1"/>
      <name val="Tafom"/>
      <charset val="238"/>
    </font>
    <font>
      <sz val="12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Tafom"/>
      <charset val="238"/>
    </font>
    <font>
      <sz val="11"/>
      <color theme="1"/>
      <name val="Calibri"/>
      <family val="2"/>
      <scheme val="minor"/>
    </font>
    <font>
      <b/>
      <i/>
      <sz val="18"/>
      <color theme="1"/>
      <name val="Tafom"/>
      <charset val="238"/>
    </font>
    <font>
      <i/>
      <sz val="12"/>
      <color theme="1"/>
      <name val="Tafom"/>
      <charset val="238"/>
    </font>
    <font>
      <sz val="12"/>
      <color theme="1"/>
      <name val="Tafo"/>
      <charset val="238"/>
    </font>
    <font>
      <b/>
      <sz val="11"/>
      <color theme="1"/>
      <name val="Tafom"/>
      <charset val="238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Tafom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4" fontId="3" fillId="0" borderId="0" applyFont="0" applyFill="0" applyBorder="0" applyAlignment="0" applyProtection="0"/>
  </cellStyleXfs>
  <cellXfs count="470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0" fillId="0" borderId="0" xfId="0" applyAlignme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3" fontId="0" fillId="0" borderId="0" xfId="0" applyNumberFormat="1"/>
    <xf numFmtId="9" fontId="0" fillId="0" borderId="0" xfId="1" applyFont="1"/>
    <xf numFmtId="164" fontId="0" fillId="0" borderId="0" xfId="1" applyNumberFormat="1" applyFont="1"/>
    <xf numFmtId="49" fontId="2" fillId="3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left"/>
    </xf>
    <xf numFmtId="3" fontId="0" fillId="3" borderId="11" xfId="0" applyNumberFormat="1" applyFill="1" applyBorder="1"/>
    <xf numFmtId="4" fontId="2" fillId="3" borderId="12" xfId="0" applyNumberFormat="1" applyFont="1" applyFill="1" applyBorder="1" applyAlignment="1">
      <alignment horizontal="right"/>
    </xf>
    <xf numFmtId="4" fontId="2" fillId="3" borderId="11" xfId="0" applyNumberFormat="1" applyFont="1" applyFill="1" applyBorder="1" applyAlignment="1">
      <alignment horizontal="right"/>
    </xf>
    <xf numFmtId="164" fontId="0" fillId="3" borderId="11" xfId="1" applyNumberFormat="1" applyFont="1" applyFill="1" applyBorder="1"/>
    <xf numFmtId="49" fontId="2" fillId="3" borderId="11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3" borderId="10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49" fontId="2" fillId="0" borderId="1" xfId="2" applyNumberFormat="1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left"/>
    </xf>
    <xf numFmtId="4" fontId="8" fillId="6" borderId="1" xfId="0" applyNumberFormat="1" applyFont="1" applyFill="1" applyBorder="1" applyAlignment="1">
      <alignment horizontal="right"/>
    </xf>
    <xf numFmtId="4" fontId="2" fillId="6" borderId="0" xfId="0" applyNumberFormat="1" applyFont="1" applyFill="1" applyBorder="1" applyAlignment="1">
      <alignment horizontal="right"/>
    </xf>
    <xf numFmtId="0" fontId="0" fillId="6" borderId="0" xfId="0" applyFill="1"/>
    <xf numFmtId="49" fontId="2" fillId="0" borderId="0" xfId="0" applyNumberFormat="1" applyFont="1" applyFill="1" applyBorder="1" applyAlignment="1">
      <alignment horizontal="center"/>
    </xf>
    <xf numFmtId="3" fontId="0" fillId="5" borderId="0" xfId="0" applyNumberFormat="1" applyFill="1"/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6" borderId="1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6" borderId="2" xfId="0" applyNumberFormat="1" applyFont="1" applyFill="1" applyBorder="1" applyAlignment="1">
      <alignment horizontal="right"/>
    </xf>
    <xf numFmtId="3" fontId="0" fillId="0" borderId="0" xfId="0" applyNumberFormat="1" applyAlignment="1"/>
    <xf numFmtId="3" fontId="2" fillId="0" borderId="0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2" fillId="6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0" fillId="5" borderId="0" xfId="0" applyFill="1"/>
    <xf numFmtId="0" fontId="9" fillId="5" borderId="0" xfId="0" applyFont="1" applyFill="1"/>
    <xf numFmtId="49" fontId="2" fillId="8" borderId="11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left"/>
    </xf>
    <xf numFmtId="49" fontId="2" fillId="8" borderId="10" xfId="0" applyNumberFormat="1" applyFont="1" applyFill="1" applyBorder="1" applyAlignment="1">
      <alignment horizontal="left"/>
    </xf>
    <xf numFmtId="3" fontId="2" fillId="8" borderId="11" xfId="0" applyNumberFormat="1" applyFont="1" applyFill="1" applyBorder="1" applyAlignment="1">
      <alignment horizontal="right"/>
    </xf>
    <xf numFmtId="4" fontId="8" fillId="8" borderId="11" xfId="0" applyNumberFormat="1" applyFont="1" applyFill="1" applyBorder="1" applyAlignment="1">
      <alignment horizontal="right"/>
    </xf>
    <xf numFmtId="4" fontId="2" fillId="8" borderId="11" xfId="0" applyNumberFormat="1" applyFont="1" applyFill="1" applyBorder="1" applyAlignment="1">
      <alignment horizontal="right"/>
    </xf>
    <xf numFmtId="0" fontId="0" fillId="8" borderId="11" xfId="0" applyFill="1" applyBorder="1"/>
    <xf numFmtId="9" fontId="0" fillId="8" borderId="11" xfId="1" applyFont="1" applyFill="1" applyBorder="1"/>
    <xf numFmtId="3" fontId="0" fillId="8" borderId="11" xfId="0" applyNumberFormat="1" applyFill="1" applyBorder="1"/>
    <xf numFmtId="0" fontId="9" fillId="8" borderId="11" xfId="0" applyFont="1" applyFill="1" applyBorder="1"/>
    <xf numFmtId="49" fontId="2" fillId="9" borderId="1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right"/>
    </xf>
    <xf numFmtId="3" fontId="2" fillId="9" borderId="11" xfId="0" applyNumberFormat="1" applyFont="1" applyFill="1" applyBorder="1" applyAlignment="1">
      <alignment horizontal="right"/>
    </xf>
    <xf numFmtId="4" fontId="8" fillId="9" borderId="11" xfId="0" applyNumberFormat="1" applyFont="1" applyFill="1" applyBorder="1" applyAlignment="1">
      <alignment horizontal="right"/>
    </xf>
    <xf numFmtId="4" fontId="2" fillId="9" borderId="11" xfId="0" applyNumberFormat="1" applyFont="1" applyFill="1" applyBorder="1" applyAlignment="1">
      <alignment horizontal="right"/>
    </xf>
    <xf numFmtId="0" fontId="0" fillId="9" borderId="11" xfId="0" applyFill="1" applyBorder="1"/>
    <xf numFmtId="9" fontId="0" fillId="9" borderId="11" xfId="1" applyFont="1" applyFill="1" applyBorder="1"/>
    <xf numFmtId="0" fontId="0" fillId="9" borderId="13" xfId="0" applyFill="1" applyBorder="1"/>
    <xf numFmtId="0" fontId="0" fillId="9" borderId="13" xfId="0" applyFill="1" applyBorder="1" applyAlignment="1">
      <alignment horizontal="right"/>
    </xf>
    <xf numFmtId="3" fontId="0" fillId="9" borderId="13" xfId="0" applyNumberFormat="1" applyFill="1" applyBorder="1"/>
    <xf numFmtId="0" fontId="9" fillId="9" borderId="13" xfId="0" applyFont="1" applyFill="1" applyBorder="1"/>
    <xf numFmtId="49" fontId="2" fillId="7" borderId="11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left"/>
    </xf>
    <xf numFmtId="0" fontId="0" fillId="7" borderId="11" xfId="0" applyFill="1" applyBorder="1"/>
    <xf numFmtId="3" fontId="2" fillId="7" borderId="11" xfId="0" applyNumberFormat="1" applyFont="1" applyFill="1" applyBorder="1" applyAlignment="1">
      <alignment horizontal="right"/>
    </xf>
    <xf numFmtId="4" fontId="8" fillId="7" borderId="11" xfId="0" applyNumberFormat="1" applyFont="1" applyFill="1" applyBorder="1" applyAlignment="1">
      <alignment horizontal="right"/>
    </xf>
    <xf numFmtId="4" fontId="2" fillId="7" borderId="11" xfId="0" applyNumberFormat="1" applyFont="1" applyFill="1" applyBorder="1" applyAlignment="1">
      <alignment horizontal="right"/>
    </xf>
    <xf numFmtId="9" fontId="0" fillId="7" borderId="11" xfId="1" applyFont="1" applyFill="1" applyBorder="1"/>
    <xf numFmtId="3" fontId="0" fillId="7" borderId="11" xfId="0" applyNumberFormat="1" applyFill="1" applyBorder="1"/>
    <xf numFmtId="0" fontId="9" fillId="7" borderId="11" xfId="0" applyFont="1" applyFill="1" applyBorder="1"/>
    <xf numFmtId="0" fontId="14" fillId="0" borderId="14" xfId="0" applyFont="1" applyBorder="1"/>
    <xf numFmtId="0" fontId="14" fillId="0" borderId="15" xfId="0" applyFont="1" applyBorder="1"/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3" fontId="14" fillId="0" borderId="23" xfId="0" applyNumberFormat="1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25" xfId="0" applyNumberFormat="1" applyFont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3" fontId="15" fillId="0" borderId="27" xfId="0" applyNumberFormat="1" applyFont="1" applyBorder="1" applyAlignment="1">
      <alignment vertical="center"/>
    </xf>
    <xf numFmtId="3" fontId="15" fillId="0" borderId="28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7" fillId="0" borderId="0" xfId="0" applyFont="1"/>
    <xf numFmtId="0" fontId="14" fillId="0" borderId="0" xfId="0" applyFont="1"/>
    <xf numFmtId="3" fontId="14" fillId="0" borderId="0" xfId="0" applyNumberFormat="1" applyFont="1"/>
    <xf numFmtId="0" fontId="14" fillId="2" borderId="6" xfId="0" applyFont="1" applyFill="1" applyBorder="1"/>
    <xf numFmtId="3" fontId="14" fillId="2" borderId="6" xfId="0" applyNumberFormat="1" applyFont="1" applyFill="1" applyBorder="1"/>
    <xf numFmtId="0" fontId="14" fillId="0" borderId="6" xfId="0" applyFont="1" applyBorder="1"/>
    <xf numFmtId="3" fontId="14" fillId="0" borderId="6" xfId="0" applyNumberFormat="1" applyFont="1" applyBorder="1"/>
    <xf numFmtId="0" fontId="15" fillId="0" borderId="9" xfId="0" applyFont="1" applyBorder="1"/>
    <xf numFmtId="0" fontId="15" fillId="0" borderId="9" xfId="0" applyFont="1" applyBorder="1" applyAlignment="1">
      <alignment horizontal="center" wrapText="1"/>
    </xf>
    <xf numFmtId="3" fontId="15" fillId="0" borderId="9" xfId="0" applyNumberFormat="1" applyFont="1" applyBorder="1" applyAlignment="1">
      <alignment horizontal="center" wrapText="1"/>
    </xf>
    <xf numFmtId="3" fontId="15" fillId="0" borderId="9" xfId="0" applyNumberFormat="1" applyFont="1" applyBorder="1"/>
    <xf numFmtId="0" fontId="15" fillId="3" borderId="6" xfId="0" applyFont="1" applyFill="1" applyBorder="1"/>
    <xf numFmtId="3" fontId="15" fillId="3" borderId="6" xfId="0" applyNumberFormat="1" applyFont="1" applyFill="1" applyBorder="1"/>
    <xf numFmtId="0" fontId="15" fillId="0" borderId="0" xfId="0" applyFont="1"/>
    <xf numFmtId="3" fontId="13" fillId="0" borderId="0" xfId="0" applyNumberFormat="1" applyFont="1"/>
    <xf numFmtId="3" fontId="13" fillId="0" borderId="7" xfId="0" applyNumberFormat="1" applyFont="1" applyBorder="1"/>
    <xf numFmtId="3" fontId="13" fillId="0" borderId="8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3" fontId="1" fillId="8" borderId="11" xfId="0" applyNumberFormat="1" applyFont="1" applyFill="1" applyBorder="1" applyAlignment="1">
      <alignment horizontal="right"/>
    </xf>
    <xf numFmtId="3" fontId="1" fillId="9" borderId="11" xfId="0" applyNumberFormat="1" applyFont="1" applyFill="1" applyBorder="1" applyAlignment="1">
      <alignment horizontal="right"/>
    </xf>
    <xf numFmtId="3" fontId="1" fillId="7" borderId="11" xfId="0" applyNumberFormat="1" applyFont="1" applyFill="1" applyBorder="1" applyAlignment="1">
      <alignment horizontal="right"/>
    </xf>
    <xf numFmtId="0" fontId="13" fillId="0" borderId="0" xfId="0" applyFont="1"/>
    <xf numFmtId="3" fontId="13" fillId="4" borderId="0" xfId="0" applyNumberFormat="1" applyFont="1" applyFill="1"/>
    <xf numFmtId="3" fontId="13" fillId="0" borderId="0" xfId="0" applyNumberFormat="1" applyFont="1" applyFill="1"/>
    <xf numFmtId="3" fontId="13" fillId="6" borderId="0" xfId="0" applyNumberFormat="1" applyFont="1" applyFill="1"/>
    <xf numFmtId="3" fontId="13" fillId="8" borderId="11" xfId="0" applyNumberFormat="1" applyFont="1" applyFill="1" applyBorder="1"/>
    <xf numFmtId="3" fontId="13" fillId="9" borderId="13" xfId="0" applyNumberFormat="1" applyFont="1" applyFill="1" applyBorder="1"/>
    <xf numFmtId="3" fontId="13" fillId="7" borderId="11" xfId="0" applyNumberFormat="1" applyFont="1" applyFill="1" applyBorder="1"/>
    <xf numFmtId="3" fontId="13" fillId="5" borderId="0" xfId="0" applyNumberFormat="1" applyFont="1" applyFill="1"/>
    <xf numFmtId="14" fontId="0" fillId="0" borderId="0" xfId="0" applyNumberFormat="1"/>
    <xf numFmtId="14" fontId="14" fillId="0" borderId="0" xfId="0" applyNumberFormat="1" applyFont="1"/>
    <xf numFmtId="0" fontId="0" fillId="4" borderId="11" xfId="0" applyFill="1" applyBorder="1"/>
    <xf numFmtId="4" fontId="0" fillId="4" borderId="11" xfId="0" applyNumberFormat="1" applyFill="1" applyBorder="1"/>
    <xf numFmtId="0" fontId="7" fillId="4" borderId="11" xfId="0" applyFont="1" applyFill="1" applyBorder="1"/>
    <xf numFmtId="3" fontId="0" fillId="4" borderId="11" xfId="0" applyNumberFormat="1" applyFill="1" applyBorder="1"/>
    <xf numFmtId="164" fontId="0" fillId="4" borderId="11" xfId="1" applyNumberFormat="1" applyFont="1" applyFill="1" applyBorder="1"/>
    <xf numFmtId="164" fontId="2" fillId="8" borderId="11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0" fillId="10" borderId="0" xfId="0" applyFill="1"/>
    <xf numFmtId="3" fontId="0" fillId="10" borderId="0" xfId="0" applyNumberFormat="1" applyFill="1"/>
    <xf numFmtId="17" fontId="0" fillId="0" borderId="0" xfId="0" applyNumberFormat="1"/>
    <xf numFmtId="4" fontId="0" fillId="0" borderId="32" xfId="0" applyNumberFormat="1" applyBorder="1"/>
    <xf numFmtId="3" fontId="2" fillId="3" borderId="11" xfId="0" applyNumberFormat="1" applyFont="1" applyFill="1" applyBorder="1" applyAlignment="1">
      <alignment horizontal="right"/>
    </xf>
    <xf numFmtId="0" fontId="0" fillId="4" borderId="0" xfId="0" applyFill="1"/>
    <xf numFmtId="9" fontId="0" fillId="0" borderId="0" xfId="0" applyNumberFormat="1"/>
    <xf numFmtId="3" fontId="19" fillId="0" borderId="0" xfId="0" applyNumberFormat="1" applyFont="1"/>
    <xf numFmtId="3" fontId="2" fillId="3" borderId="0" xfId="0" applyNumberFormat="1" applyFont="1" applyFill="1" applyBorder="1" applyAlignment="1">
      <alignment horizontal="right"/>
    </xf>
    <xf numFmtId="4" fontId="0" fillId="4" borderId="0" xfId="0" applyNumberFormat="1" applyFill="1" applyBorder="1"/>
    <xf numFmtId="9" fontId="19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12" fillId="6" borderId="0" xfId="0" applyFont="1" applyFill="1" applyAlignment="1">
      <alignment horizontal="center" textRotation="90"/>
    </xf>
    <xf numFmtId="3" fontId="13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21" fillId="6" borderId="0" xfId="0" applyNumberFormat="1" applyFont="1" applyFill="1" applyAlignment="1">
      <alignment horizontal="center" textRotation="90"/>
    </xf>
    <xf numFmtId="9" fontId="1" fillId="8" borderId="0" xfId="1" applyFont="1" applyFill="1" applyBorder="1" applyAlignment="1">
      <alignment horizontal="right"/>
    </xf>
    <xf numFmtId="9" fontId="1" fillId="7" borderId="0" xfId="1" applyFont="1" applyFill="1" applyBorder="1" applyAlignment="1">
      <alignment horizontal="right"/>
    </xf>
    <xf numFmtId="3" fontId="0" fillId="0" borderId="0" xfId="3" applyNumberFormat="1" applyFont="1"/>
    <xf numFmtId="3" fontId="13" fillId="11" borderId="0" xfId="0" applyNumberFormat="1" applyFont="1" applyFill="1"/>
    <xf numFmtId="0" fontId="0" fillId="12" borderId="0" xfId="0" applyFill="1"/>
    <xf numFmtId="3" fontId="0" fillId="12" borderId="0" xfId="0" applyNumberFormat="1" applyFill="1"/>
    <xf numFmtId="0" fontId="9" fillId="12" borderId="0" xfId="0" applyFont="1" applyFill="1"/>
    <xf numFmtId="3" fontId="13" fillId="12" borderId="0" xfId="0" applyNumberFormat="1" applyFont="1" applyFill="1"/>
    <xf numFmtId="164" fontId="13" fillId="12" borderId="32" xfId="1" applyNumberFormat="1" applyFont="1" applyFill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13" fillId="3" borderId="11" xfId="0" applyNumberFormat="1" applyFont="1" applyFill="1" applyBorder="1"/>
    <xf numFmtId="3" fontId="1" fillId="3" borderId="11" xfId="0" applyNumberFormat="1" applyFont="1" applyFill="1" applyBorder="1" applyAlignment="1">
      <alignment horizontal="right"/>
    </xf>
    <xf numFmtId="4" fontId="1" fillId="3" borderId="11" xfId="0" applyNumberFormat="1" applyFont="1" applyFill="1" applyBorder="1" applyAlignment="1">
      <alignment horizontal="right"/>
    </xf>
    <xf numFmtId="3" fontId="2" fillId="9" borderId="0" xfId="0" applyNumberFormat="1" applyFont="1" applyFill="1" applyBorder="1" applyAlignment="1">
      <alignment horizontal="right"/>
    </xf>
    <xf numFmtId="4" fontId="8" fillId="9" borderId="0" xfId="0" applyNumberFormat="1" applyFont="1" applyFill="1" applyBorder="1" applyAlignment="1">
      <alignment horizontal="right"/>
    </xf>
    <xf numFmtId="4" fontId="2" fillId="9" borderId="0" xfId="0" applyNumberFormat="1" applyFont="1" applyFill="1" applyBorder="1" applyAlignment="1">
      <alignment horizontal="right"/>
    </xf>
    <xf numFmtId="0" fontId="0" fillId="9" borderId="0" xfId="0" applyFill="1" applyBorder="1"/>
    <xf numFmtId="3" fontId="1" fillId="7" borderId="0" xfId="0" applyNumberFormat="1" applyFont="1" applyFill="1" applyBorder="1" applyAlignment="1">
      <alignment horizontal="right"/>
    </xf>
    <xf numFmtId="9" fontId="0" fillId="7" borderId="0" xfId="1" applyFont="1" applyFill="1" applyBorder="1"/>
    <xf numFmtId="0" fontId="0" fillId="7" borderId="0" xfId="0" applyFill="1"/>
    <xf numFmtId="4" fontId="13" fillId="4" borderId="11" xfId="0" applyNumberFormat="1" applyFont="1" applyFill="1" applyBorder="1"/>
    <xf numFmtId="0" fontId="13" fillId="0" borderId="0" xfId="0" applyNumberFormat="1" applyFo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9" fontId="0" fillId="0" borderId="0" xfId="1" applyFont="1" applyFill="1" applyBorder="1"/>
    <xf numFmtId="0" fontId="0" fillId="0" borderId="0" xfId="0" applyFill="1"/>
    <xf numFmtId="3" fontId="0" fillId="0" borderId="0" xfId="0" applyNumberFormat="1" applyFill="1"/>
    <xf numFmtId="9" fontId="0" fillId="0" borderId="0" xfId="1" applyFon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49" fontId="0" fillId="0" borderId="33" xfId="0" applyNumberFormat="1" applyFill="1" applyBorder="1" applyAlignment="1">
      <alignment horizontal="left"/>
    </xf>
    <xf numFmtId="0" fontId="23" fillId="13" borderId="0" xfId="0" applyFont="1" applyFill="1"/>
    <xf numFmtId="3" fontId="22" fillId="13" borderId="0" xfId="0" applyNumberFormat="1" applyFont="1" applyFill="1"/>
    <xf numFmtId="3" fontId="13" fillId="13" borderId="0" xfId="0" applyNumberFormat="1" applyFont="1" applyFill="1"/>
    <xf numFmtId="3" fontId="23" fillId="13" borderId="0" xfId="0" applyNumberFormat="1" applyFont="1" applyFill="1"/>
    <xf numFmtId="3" fontId="23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23" fillId="0" borderId="0" xfId="0" applyFont="1" applyFill="1"/>
    <xf numFmtId="3" fontId="22" fillId="0" borderId="0" xfId="0" applyNumberFormat="1" applyFont="1" applyFill="1"/>
    <xf numFmtId="0" fontId="22" fillId="0" borderId="0" xfId="0" applyFont="1" applyFill="1"/>
    <xf numFmtId="3" fontId="23" fillId="0" borderId="0" xfId="0" applyNumberFormat="1" applyFont="1" applyFill="1"/>
    <xf numFmtId="49" fontId="2" fillId="0" borderId="1" xfId="0" applyNumberFormat="1" applyFont="1" applyBorder="1" applyAlignment="1">
      <alignment horizontal="center"/>
    </xf>
    <xf numFmtId="0" fontId="12" fillId="6" borderId="0" xfId="0" applyFont="1" applyFill="1" applyAlignment="1">
      <alignment horizontal="center" textRotation="90"/>
    </xf>
    <xf numFmtId="4" fontId="0" fillId="0" borderId="0" xfId="0" applyNumberFormat="1"/>
    <xf numFmtId="3" fontId="13" fillId="3" borderId="0" xfId="0" applyNumberFormat="1" applyFont="1" applyFill="1" applyBorder="1"/>
    <xf numFmtId="3" fontId="1" fillId="3" borderId="0" xfId="0" applyNumberFormat="1" applyFont="1" applyFill="1" applyBorder="1" applyAlignment="1">
      <alignment horizontal="right"/>
    </xf>
    <xf numFmtId="3" fontId="22" fillId="0" borderId="0" xfId="0" applyNumberFormat="1" applyFont="1"/>
    <xf numFmtId="1" fontId="13" fillId="0" borderId="0" xfId="0" applyNumberFormat="1" applyFont="1"/>
    <xf numFmtId="164" fontId="2" fillId="0" borderId="0" xfId="1" applyNumberFormat="1" applyFont="1" applyFill="1" applyBorder="1" applyAlignment="1">
      <alignment horizontal="right"/>
    </xf>
    <xf numFmtId="4" fontId="8" fillId="6" borderId="0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42" xfId="0" applyNumberFormat="1" applyFont="1" applyBorder="1" applyAlignment="1">
      <alignment horizontal="center"/>
    </xf>
    <xf numFmtId="3" fontId="0" fillId="13" borderId="0" xfId="0" applyNumberFormat="1" applyFill="1"/>
    <xf numFmtId="3" fontId="1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164" fontId="27" fillId="0" borderId="0" xfId="1" applyNumberFormat="1" applyFont="1"/>
    <xf numFmtId="164" fontId="27" fillId="0" borderId="6" xfId="1" applyNumberFormat="1" applyFont="1" applyBorder="1"/>
    <xf numFmtId="164" fontId="27" fillId="0" borderId="43" xfId="1" applyNumberFormat="1" applyFont="1" applyBorder="1"/>
    <xf numFmtId="3" fontId="27" fillId="0" borderId="0" xfId="0" applyNumberFormat="1" applyFont="1"/>
    <xf numFmtId="3" fontId="24" fillId="0" borderId="0" xfId="0" applyNumberFormat="1" applyFont="1" applyBorder="1"/>
    <xf numFmtId="3" fontId="27" fillId="2" borderId="0" xfId="0" applyNumberFormat="1" applyFont="1" applyFill="1" applyBorder="1"/>
    <xf numFmtId="3" fontId="24" fillId="3" borderId="0" xfId="0" applyNumberFormat="1" applyFont="1" applyFill="1" applyBorder="1"/>
    <xf numFmtId="0" fontId="24" fillId="0" borderId="0" xfId="0" applyFont="1"/>
    <xf numFmtId="3" fontId="27" fillId="0" borderId="0" xfId="0" applyNumberFormat="1" applyFont="1" applyBorder="1"/>
    <xf numFmtId="3" fontId="24" fillId="0" borderId="9" xfId="0" applyNumberFormat="1" applyFont="1" applyBorder="1"/>
    <xf numFmtId="164" fontId="27" fillId="0" borderId="9" xfId="1" applyNumberFormat="1" applyFont="1" applyBorder="1"/>
    <xf numFmtId="3" fontId="24" fillId="0" borderId="9" xfId="0" applyNumberFormat="1" applyFont="1" applyBorder="1" applyAlignment="1">
      <alignment horizontal="center" wrapText="1"/>
    </xf>
    <xf numFmtId="0" fontId="27" fillId="0" borderId="9" xfId="0" applyFont="1" applyBorder="1"/>
    <xf numFmtId="0" fontId="14" fillId="0" borderId="0" xfId="0" applyFont="1" applyAlignment="1">
      <alignment horizontal="center"/>
    </xf>
    <xf numFmtId="164" fontId="0" fillId="0" borderId="11" xfId="1" applyNumberFormat="1" applyFont="1" applyBorder="1"/>
    <xf numFmtId="3" fontId="18" fillId="0" borderId="31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3" fontId="14" fillId="0" borderId="44" xfId="0" applyNumberFormat="1" applyFont="1" applyBorder="1" applyAlignment="1">
      <alignment vertical="center"/>
    </xf>
    <xf numFmtId="3" fontId="18" fillId="0" borderId="45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8" fillId="0" borderId="0" xfId="0" applyFont="1"/>
    <xf numFmtId="0" fontId="0" fillId="15" borderId="0" xfId="0" applyFill="1"/>
    <xf numFmtId="0" fontId="14" fillId="0" borderId="9" xfId="0" applyFont="1" applyBorder="1"/>
    <xf numFmtId="0" fontId="29" fillId="0" borderId="9" xfId="0" applyFont="1" applyBorder="1" applyAlignment="1">
      <alignment wrapText="1"/>
    </xf>
    <xf numFmtId="9" fontId="1" fillId="0" borderId="0" xfId="1" applyFont="1" applyFill="1" applyBorder="1" applyAlignment="1">
      <alignment horizontal="right"/>
    </xf>
    <xf numFmtId="164" fontId="0" fillId="0" borderId="0" xfId="1" applyNumberFormat="1" applyFont="1" applyFill="1"/>
    <xf numFmtId="49" fontId="2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3" fontId="17" fillId="0" borderId="0" xfId="0" applyNumberFormat="1" applyFont="1"/>
    <xf numFmtId="49" fontId="2" fillId="0" borderId="1" xfId="0" applyNumberFormat="1" applyFont="1" applyBorder="1" applyAlignment="1">
      <alignment horizontal="center"/>
    </xf>
    <xf numFmtId="3" fontId="0" fillId="11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11" borderId="0" xfId="0" applyFill="1"/>
    <xf numFmtId="49" fontId="2" fillId="0" borderId="1" xfId="0" applyNumberFormat="1" applyFont="1" applyBorder="1" applyAlignment="1">
      <alignment horizontal="center"/>
    </xf>
    <xf numFmtId="0" fontId="0" fillId="16" borderId="0" xfId="0" applyFill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164" fontId="7" fillId="0" borderId="0" xfId="1" applyNumberFormat="1" applyFont="1"/>
    <xf numFmtId="164" fontId="7" fillId="8" borderId="11" xfId="1" applyNumberFormat="1" applyFont="1" applyFill="1" applyBorder="1"/>
    <xf numFmtId="164" fontId="7" fillId="7" borderId="11" xfId="1" applyNumberFormat="1" applyFont="1" applyFill="1" applyBorder="1"/>
    <xf numFmtId="0" fontId="32" fillId="16" borderId="0" xfId="0" applyFont="1" applyFill="1"/>
    <xf numFmtId="0" fontId="32" fillId="0" borderId="0" xfId="0" applyFont="1" applyFill="1"/>
    <xf numFmtId="164" fontId="7" fillId="12" borderId="0" xfId="1" applyNumberFormat="1" applyFont="1" applyFill="1"/>
    <xf numFmtId="0" fontId="0" fillId="0" borderId="0" xfId="0" applyFont="1"/>
    <xf numFmtId="164" fontId="31" fillId="3" borderId="11" xfId="1" applyNumberFormat="1" applyFont="1" applyFill="1" applyBorder="1"/>
    <xf numFmtId="164" fontId="31" fillId="4" borderId="11" xfId="1" applyNumberFormat="1" applyFont="1" applyFill="1" applyBorder="1"/>
    <xf numFmtId="164" fontId="31" fillId="0" borderId="11" xfId="1" applyNumberFormat="1" applyFont="1" applyFill="1" applyBorder="1"/>
    <xf numFmtId="3" fontId="0" fillId="0" borderId="0" xfId="0" applyNumberFormat="1" applyFont="1"/>
    <xf numFmtId="0" fontId="0" fillId="0" borderId="0" xfId="0" applyFont="1" applyFill="1"/>
    <xf numFmtId="3" fontId="13" fillId="8" borderId="13" xfId="0" applyNumberFormat="1" applyFont="1" applyFill="1" applyBorder="1"/>
    <xf numFmtId="3" fontId="0" fillId="13" borderId="0" xfId="0" applyNumberFormat="1" applyFont="1" applyFill="1"/>
    <xf numFmtId="3" fontId="14" fillId="0" borderId="0" xfId="0" applyNumberFormat="1" applyFont="1" applyFill="1"/>
    <xf numFmtId="3" fontId="18" fillId="0" borderId="20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right" vertical="center" wrapText="1"/>
    </xf>
    <xf numFmtId="3" fontId="14" fillId="0" borderId="47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3" fontId="14" fillId="0" borderId="48" xfId="0" applyNumberFormat="1" applyFont="1" applyBorder="1" applyAlignment="1">
      <alignment horizontal="right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3" fontId="14" fillId="0" borderId="44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3" fontId="14" fillId="0" borderId="2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8" fillId="0" borderId="25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26" xfId="0" applyNumberFormat="1" applyFont="1" applyBorder="1" applyAlignment="1">
      <alignment horizontal="right" vertical="center"/>
    </xf>
    <xf numFmtId="0" fontId="15" fillId="0" borderId="49" xfId="0" applyFont="1" applyBorder="1" applyAlignment="1">
      <alignment vertical="center"/>
    </xf>
    <xf numFmtId="3" fontId="15" fillId="0" borderId="50" xfId="0" applyNumberFormat="1" applyFont="1" applyBorder="1" applyAlignment="1">
      <alignment horizontal="right" vertical="center"/>
    </xf>
    <xf numFmtId="3" fontId="15" fillId="0" borderId="51" xfId="0" applyNumberFormat="1" applyFont="1" applyBorder="1" applyAlignment="1">
      <alignment horizontal="right" vertical="center"/>
    </xf>
    <xf numFmtId="3" fontId="15" fillId="0" borderId="52" xfId="0" applyNumberFormat="1" applyFont="1" applyBorder="1" applyAlignment="1">
      <alignment horizontal="right" vertical="center"/>
    </xf>
    <xf numFmtId="0" fontId="15" fillId="0" borderId="50" xfId="0" applyFont="1" applyBorder="1" applyAlignment="1">
      <alignment vertical="center"/>
    </xf>
    <xf numFmtId="3" fontId="18" fillId="0" borderId="47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horizontal="left" vertical="center"/>
    </xf>
    <xf numFmtId="3" fontId="15" fillId="0" borderId="53" xfId="0" applyNumberFormat="1" applyFont="1" applyBorder="1" applyAlignment="1">
      <alignment horizontal="right" vertical="center"/>
    </xf>
    <xf numFmtId="3" fontId="15" fillId="0" borderId="55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13" fillId="0" borderId="0" xfId="0" applyNumberFormat="1" applyFont="1" applyAlignment="1">
      <alignment horizontal="center"/>
    </xf>
    <xf numFmtId="3" fontId="0" fillId="0" borderId="0" xfId="0" applyNumberFormat="1" applyFont="1" applyFill="1"/>
    <xf numFmtId="0" fontId="0" fillId="8" borderId="11" xfId="0" applyFont="1" applyFill="1" applyBorder="1"/>
    <xf numFmtId="49" fontId="2" fillId="7" borderId="13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left"/>
    </xf>
    <xf numFmtId="3" fontId="1" fillId="7" borderId="13" xfId="0" applyNumberFormat="1" applyFont="1" applyFill="1" applyBorder="1" applyAlignment="1">
      <alignment horizontal="right"/>
    </xf>
    <xf numFmtId="9" fontId="0" fillId="7" borderId="13" xfId="1" applyFont="1" applyFill="1" applyBorder="1"/>
    <xf numFmtId="164" fontId="7" fillId="7" borderId="13" xfId="1" applyNumberFormat="1" applyFont="1" applyFill="1" applyBorder="1"/>
    <xf numFmtId="3" fontId="22" fillId="8" borderId="11" xfId="0" applyNumberFormat="1" applyFont="1" applyFill="1" applyBorder="1"/>
    <xf numFmtId="3" fontId="0" fillId="8" borderId="11" xfId="0" applyNumberFormat="1" applyFont="1" applyFill="1" applyBorder="1"/>
    <xf numFmtId="0" fontId="32" fillId="8" borderId="11" xfId="0" applyFont="1" applyFill="1" applyBorder="1"/>
    <xf numFmtId="0" fontId="0" fillId="0" borderId="0" xfId="0" applyAlignment="1">
      <alignment horizontal="left"/>
    </xf>
    <xf numFmtId="0" fontId="0" fillId="8" borderId="11" xfId="0" applyFill="1" applyBorder="1" applyAlignment="1">
      <alignment horizontal="left"/>
    </xf>
    <xf numFmtId="0" fontId="0" fillId="9" borderId="11" xfId="0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0" fillId="8" borderId="11" xfId="0" applyFont="1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9" borderId="13" xfId="0" applyFill="1" applyBorder="1" applyAlignment="1">
      <alignment horizontal="left"/>
    </xf>
    <xf numFmtId="0" fontId="0" fillId="12" borderId="0" xfId="0" applyFill="1" applyAlignment="1">
      <alignment horizontal="left"/>
    </xf>
    <xf numFmtId="49" fontId="2" fillId="0" borderId="1" xfId="0" applyNumberFormat="1" applyFont="1" applyBorder="1" applyAlignment="1">
      <alignment horizontal="center"/>
    </xf>
    <xf numFmtId="3" fontId="0" fillId="2" borderId="0" xfId="0" applyNumberFormat="1" applyFill="1"/>
    <xf numFmtId="3" fontId="0" fillId="7" borderId="0" xfId="0" applyNumberFormat="1" applyFont="1" applyFill="1"/>
    <xf numFmtId="3" fontId="0" fillId="11" borderId="0" xfId="0" applyNumberFormat="1" applyFont="1" applyFill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7" fillId="0" borderId="0" xfId="1" applyNumberFormat="1" applyFont="1" applyFill="1" applyBorder="1"/>
    <xf numFmtId="9" fontId="1" fillId="8" borderId="11" xfId="1" applyFont="1" applyFill="1" applyBorder="1" applyAlignment="1">
      <alignment horizontal="right"/>
    </xf>
    <xf numFmtId="0" fontId="22" fillId="0" borderId="11" xfId="0" applyFont="1" applyFill="1" applyBorder="1"/>
    <xf numFmtId="3" fontId="22" fillId="13" borderId="11" xfId="0" applyNumberFormat="1" applyFont="1" applyFill="1" applyBorder="1"/>
    <xf numFmtId="0" fontId="0" fillId="0" borderId="11" xfId="0" applyFill="1" applyBorder="1"/>
    <xf numFmtId="164" fontId="2" fillId="0" borderId="11" xfId="1" applyNumberFormat="1" applyFont="1" applyFill="1" applyBorder="1" applyAlignment="1">
      <alignment horizontal="right"/>
    </xf>
    <xf numFmtId="0" fontId="0" fillId="15" borderId="11" xfId="0" applyFill="1" applyBorder="1"/>
    <xf numFmtId="0" fontId="32" fillId="0" borderId="11" xfId="0" applyFont="1" applyFill="1" applyBorder="1"/>
    <xf numFmtId="3" fontId="2" fillId="11" borderId="0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3" fontId="13" fillId="0" borderId="8" xfId="0" applyNumberFormat="1" applyFont="1" applyBorder="1" applyAlignment="1">
      <alignment wrapText="1"/>
    </xf>
    <xf numFmtId="0" fontId="0" fillId="10" borderId="0" xfId="0" applyFill="1" applyAlignment="1">
      <alignment wrapText="1"/>
    </xf>
    <xf numFmtId="0" fontId="13" fillId="0" borderId="0" xfId="0" applyFont="1" applyAlignment="1">
      <alignment wrapText="1"/>
    </xf>
    <xf numFmtId="0" fontId="23" fillId="0" borderId="0" xfId="0" applyFont="1" applyFill="1" applyAlignment="1">
      <alignment wrapText="1"/>
    </xf>
    <xf numFmtId="0" fontId="23" fillId="13" borderId="0" xfId="0" applyFont="1" applyFill="1" applyAlignment="1">
      <alignment wrapText="1"/>
    </xf>
    <xf numFmtId="0" fontId="13" fillId="0" borderId="0" xfId="0" applyFont="1" applyAlignment="1">
      <alignment horizontal="center" vertical="center" wrapText="1"/>
    </xf>
    <xf numFmtId="3" fontId="0" fillId="0" borderId="0" xfId="0" applyNumberFormat="1" applyFill="1" applyAlignment="1">
      <alignment wrapText="1"/>
    </xf>
    <xf numFmtId="0" fontId="0" fillId="15" borderId="0" xfId="0" applyFill="1" applyAlignment="1">
      <alignment wrapText="1"/>
    </xf>
    <xf numFmtId="3" fontId="1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49" fontId="2" fillId="11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13" fillId="11" borderId="0" xfId="0" applyNumberFormat="1" applyFont="1" applyFill="1" applyAlignment="1">
      <alignment horizontal="center" wrapText="1"/>
    </xf>
    <xf numFmtId="3" fontId="13" fillId="0" borderId="0" xfId="0" applyNumberFormat="1" applyFont="1" applyFill="1" applyAlignment="1">
      <alignment horizontal="center" wrapText="1"/>
    </xf>
    <xf numFmtId="0" fontId="0" fillId="4" borderId="0" xfId="0" applyNumberFormat="1" applyFill="1"/>
    <xf numFmtId="0" fontId="0" fillId="0" borderId="0" xfId="0" applyNumberFormat="1"/>
    <xf numFmtId="0" fontId="0" fillId="0" borderId="0" xfId="0" applyFill="1" applyAlignment="1">
      <alignment wrapText="1"/>
    </xf>
    <xf numFmtId="3" fontId="20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2" fillId="6" borderId="0" xfId="0" applyFont="1" applyFill="1" applyAlignment="1">
      <alignment horizontal="center" textRotation="90"/>
    </xf>
    <xf numFmtId="3" fontId="13" fillId="0" borderId="0" xfId="0" applyNumberFormat="1" applyFont="1" applyFill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3" fontId="13" fillId="0" borderId="11" xfId="0" applyNumberFormat="1" applyFont="1" applyFill="1" applyBorder="1"/>
    <xf numFmtId="3" fontId="13" fillId="0" borderId="13" xfId="0" applyNumberFormat="1" applyFont="1" applyFill="1" applyBorder="1"/>
    <xf numFmtId="3" fontId="2" fillId="8" borderId="0" xfId="0" applyNumberFormat="1" applyFont="1" applyFill="1" applyBorder="1" applyAlignment="1">
      <alignment horizontal="right"/>
    </xf>
    <xf numFmtId="4" fontId="8" fillId="8" borderId="0" xfId="0" applyNumberFormat="1" applyFont="1" applyFill="1" applyBorder="1" applyAlignment="1">
      <alignment horizontal="right"/>
    </xf>
    <xf numFmtId="164" fontId="2" fillId="8" borderId="0" xfId="1" applyNumberFormat="1" applyFont="1" applyFill="1" applyBorder="1" applyAlignment="1">
      <alignment horizontal="right"/>
    </xf>
    <xf numFmtId="0" fontId="0" fillId="8" borderId="0" xfId="0" applyFill="1" applyBorder="1"/>
    <xf numFmtId="3" fontId="1" fillId="8" borderId="0" xfId="0" applyNumberFormat="1" applyFont="1" applyFill="1" applyBorder="1" applyAlignment="1">
      <alignment horizontal="right"/>
    </xf>
    <xf numFmtId="9" fontId="0" fillId="8" borderId="0" xfId="1" applyFont="1" applyFill="1" applyBorder="1"/>
    <xf numFmtId="164" fontId="7" fillId="8" borderId="0" xfId="1" applyNumberFormat="1" applyFont="1" applyFill="1" applyBorder="1"/>
    <xf numFmtId="3" fontId="1" fillId="17" borderId="0" xfId="0" applyNumberFormat="1" applyFont="1" applyFill="1" applyBorder="1" applyAlignment="1">
      <alignment horizontal="right"/>
    </xf>
    <xf numFmtId="3" fontId="1" fillId="17" borderId="56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 vertical="top"/>
    </xf>
    <xf numFmtId="3" fontId="0" fillId="0" borderId="11" xfId="0" applyNumberFormat="1" applyFill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0" fillId="0" borderId="0" xfId="5" applyFont="1"/>
    <xf numFmtId="44" fontId="33" fillId="0" borderId="0" xfId="5" applyFont="1" applyAlignment="1"/>
    <xf numFmtId="44" fontId="16" fillId="0" borderId="0" xfId="5" applyFont="1" applyAlignment="1"/>
    <xf numFmtId="1" fontId="1" fillId="0" borderId="0" xfId="0" applyNumberFormat="1" applyFont="1" applyBorder="1" applyAlignment="1">
      <alignment horizontal="left"/>
    </xf>
    <xf numFmtId="1" fontId="0" fillId="0" borderId="0" xfId="0" applyNumberFormat="1" applyAlignme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10" borderId="0" xfId="0" applyNumberFormat="1" applyFill="1"/>
    <xf numFmtId="1" fontId="22" fillId="0" borderId="0" xfId="0" applyNumberFormat="1" applyFont="1" applyFill="1"/>
    <xf numFmtId="1" fontId="20" fillId="0" borderId="0" xfId="0" applyNumberFormat="1" applyFont="1" applyAlignment="1">
      <alignment horizontal="center"/>
    </xf>
    <xf numFmtId="1" fontId="13" fillId="0" borderId="0" xfId="0" applyNumberFormat="1" applyFont="1" applyFill="1"/>
    <xf numFmtId="1" fontId="0" fillId="15" borderId="0" xfId="0" applyNumberFormat="1" applyFill="1"/>
    <xf numFmtId="1" fontId="32" fillId="0" borderId="0" xfId="0" applyNumberFormat="1" applyFont="1"/>
    <xf numFmtId="1" fontId="0" fillId="0" borderId="0" xfId="0" applyNumberFormat="1" applyFill="1"/>
    <xf numFmtId="1" fontId="20" fillId="0" borderId="0" xfId="0" applyNumberFormat="1" applyFont="1" applyFill="1" applyAlignment="1">
      <alignment horizontal="center"/>
    </xf>
    <xf numFmtId="4" fontId="0" fillId="11" borderId="0" xfId="0" applyNumberFormat="1" applyFill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1" fillId="5" borderId="0" xfId="0" applyNumberFormat="1" applyFont="1" applyFill="1"/>
    <xf numFmtId="164" fontId="21" fillId="0" borderId="0" xfId="1" applyNumberFormat="1" applyFont="1"/>
    <xf numFmtId="3" fontId="1" fillId="9" borderId="0" xfId="0" applyNumberFormat="1" applyFont="1" applyFill="1" applyBorder="1" applyAlignment="1">
      <alignment horizontal="right"/>
    </xf>
    <xf numFmtId="9" fontId="0" fillId="9" borderId="0" xfId="1" applyFont="1" applyFill="1" applyBorder="1"/>
    <xf numFmtId="0" fontId="14" fillId="0" borderId="9" xfId="0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3" fontId="15" fillId="0" borderId="58" xfId="0" applyNumberFormat="1" applyFont="1" applyBorder="1" applyAlignment="1">
      <alignment vertical="center"/>
    </xf>
    <xf numFmtId="3" fontId="15" fillId="0" borderId="59" xfId="0" applyNumberFormat="1" applyFont="1" applyBorder="1" applyAlignment="1">
      <alignment vertical="center"/>
    </xf>
    <xf numFmtId="3" fontId="15" fillId="0" borderId="60" xfId="0" applyNumberFormat="1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30" xfId="0" applyFont="1" applyBorder="1" applyAlignment="1">
      <alignment horizontal="left" vertical="center"/>
    </xf>
    <xf numFmtId="3" fontId="14" fillId="0" borderId="0" xfId="0" applyNumberFormat="1" applyFont="1" applyBorder="1" applyAlignment="1">
      <alignment vertical="center"/>
    </xf>
    <xf numFmtId="0" fontId="21" fillId="5" borderId="0" xfId="0" applyFont="1" applyFill="1"/>
    <xf numFmtId="0" fontId="21" fillId="5" borderId="0" xfId="0" applyFont="1" applyFill="1" applyBorder="1" applyAlignment="1">
      <alignment horizontal="left"/>
    </xf>
    <xf numFmtId="0" fontId="15" fillId="0" borderId="57" xfId="0" applyFont="1" applyBorder="1"/>
    <xf numFmtId="0" fontId="15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0" fillId="0" borderId="0" xfId="0" applyAlignment="1"/>
    <xf numFmtId="49" fontId="2" fillId="0" borderId="1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0" xfId="0" applyAlignment="1">
      <alignment horizontal="center"/>
    </xf>
    <xf numFmtId="3" fontId="13" fillId="0" borderId="34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3" fillId="0" borderId="36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38" xfId="0" applyNumberFormat="1" applyFont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2" fillId="6" borderId="0" xfId="0" applyFont="1" applyFill="1" applyAlignment="1">
      <alignment horizontal="center" textRotation="90"/>
    </xf>
    <xf numFmtId="0" fontId="30" fillId="14" borderId="41" xfId="0" applyNumberFormat="1" applyFont="1" applyFill="1" applyBorder="1" applyAlignment="1" applyProtection="1">
      <alignment horizontal="left" vertical="center" wrapText="1"/>
    </xf>
  </cellXfs>
  <cellStyles count="6">
    <cellStyle name="čárky" xfId="3" builtinId="3"/>
    <cellStyle name="měny" xfId="5" builtinId="4"/>
    <cellStyle name="normální" xfId="0" builtinId="0"/>
    <cellStyle name="normální 2" xfId="2"/>
    <cellStyle name="normální 3" xfId="4"/>
    <cellStyle name="procent" xfId="1" builtinId="5"/>
  </cellStyles>
  <dxfs count="0"/>
  <tableStyles count="0" defaultTableStyle="TableStyleMedium9" defaultPivotStyle="PivotStyleLight16"/>
  <colors>
    <mruColors>
      <color rgb="FFFFFF99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c/AppData/Roaming/Microsoft/Excel/Programov&#233;%20priori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PERSONAL/Mzdy_souhr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Zastupitelstvo/Podklady%2020211112/Programov&#233;%20priority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2019"/>
      <sheetName val="2019_ke_zveřejnění"/>
      <sheetName val="2019_ke zveřejnění"/>
    </sheetNames>
    <sheetDataSet>
      <sheetData sheetId="0">
        <row r="13">
          <cell r="Q13">
            <v>200000</v>
          </cell>
        </row>
        <row r="14">
          <cell r="Q14">
            <v>300000</v>
          </cell>
        </row>
        <row r="20">
          <cell r="Q20">
            <v>10000</v>
          </cell>
        </row>
        <row r="23">
          <cell r="Q23">
            <v>300000</v>
          </cell>
        </row>
        <row r="38">
          <cell r="Q38">
            <v>300000</v>
          </cell>
        </row>
        <row r="41">
          <cell r="Q41">
            <v>10000</v>
          </cell>
        </row>
        <row r="42">
          <cell r="Q42">
            <v>20000</v>
          </cell>
        </row>
        <row r="51">
          <cell r="Q51">
            <v>100000</v>
          </cell>
        </row>
        <row r="56">
          <cell r="Q56">
            <v>10000</v>
          </cell>
        </row>
        <row r="60">
          <cell r="Q60">
            <v>100000</v>
          </cell>
        </row>
        <row r="61">
          <cell r="Q61">
            <v>20000</v>
          </cell>
        </row>
        <row r="65">
          <cell r="Q65">
            <v>30000</v>
          </cell>
        </row>
        <row r="69">
          <cell r="Q69">
            <v>20000</v>
          </cell>
        </row>
        <row r="70">
          <cell r="Q70">
            <v>2000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_upr"/>
      <sheetName val="2020"/>
      <sheetName val="2019"/>
      <sheetName val="List2"/>
      <sheetName val="List3"/>
    </sheetNames>
    <sheetDataSet>
      <sheetData sheetId="0" refreshError="1"/>
      <sheetData sheetId="1">
        <row r="15">
          <cell r="C15">
            <v>59500</v>
          </cell>
          <cell r="D15">
            <v>63665.000000000007</v>
          </cell>
        </row>
        <row r="20">
          <cell r="C20">
            <v>2000</v>
          </cell>
        </row>
        <row r="21">
          <cell r="D21">
            <v>16103.500000000002</v>
          </cell>
        </row>
        <row r="27">
          <cell r="D27">
            <v>629.16000000000008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2019"/>
      <sheetName val="2019_ke zveřejnění"/>
    </sheetNames>
    <sheetDataSet>
      <sheetData sheetId="0">
        <row r="60">
          <cell r="AM60">
            <v>24000</v>
          </cell>
        </row>
        <row r="64">
          <cell r="AM64">
            <v>47500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35"/>
  <sheetViews>
    <sheetView workbookViewId="0"/>
  </sheetViews>
  <sheetFormatPr defaultColWidth="9.140625" defaultRowHeight="15"/>
  <cols>
    <col min="1" max="1" width="29.7109375" style="121" customWidth="1"/>
    <col min="2" max="2" width="8.85546875" style="121" customWidth="1"/>
    <col min="3" max="3" width="14.85546875" style="121" customWidth="1"/>
    <col min="4" max="4" width="13.7109375" style="121" customWidth="1"/>
    <col min="5" max="5" width="14.7109375" style="121" customWidth="1"/>
    <col min="6" max="6" width="15.42578125" style="122" customWidth="1"/>
    <col min="7" max="7" width="1.7109375" style="121" customWidth="1"/>
    <col min="8" max="8" width="11" style="121" customWidth="1"/>
    <col min="9" max="9" width="12" style="121" customWidth="1"/>
    <col min="10" max="10" width="1.5703125" style="121" customWidth="1"/>
    <col min="11" max="11" width="10.7109375" style="121" customWidth="1"/>
    <col min="12" max="12" width="12.140625" style="121" customWidth="1"/>
    <col min="13" max="13" width="1.28515625" style="121" customWidth="1"/>
    <col min="14" max="14" width="11" style="121" customWidth="1"/>
    <col min="15" max="15" width="11.85546875" style="121" customWidth="1"/>
    <col min="16" max="16" width="1.140625" style="121" customWidth="1"/>
    <col min="17" max="17" width="11.42578125" style="121" bestFit="1" customWidth="1"/>
    <col min="18" max="18" width="13.7109375" style="121" customWidth="1"/>
    <col min="19" max="16384" width="9.140625" style="121"/>
  </cols>
  <sheetData>
    <row r="2" spans="1:18" ht="23.25">
      <c r="A2" s="446" t="s">
        <v>471</v>
      </c>
      <c r="B2" s="446"/>
      <c r="C2" s="446"/>
      <c r="D2" s="446"/>
      <c r="E2" s="446"/>
      <c r="F2" s="446"/>
    </row>
    <row r="3" spans="1:18" s="120" customFormat="1" ht="33" customHeight="1">
      <c r="F3" s="267"/>
      <c r="H3" s="447" t="s">
        <v>476</v>
      </c>
      <c r="I3" s="447"/>
      <c r="K3" s="447" t="s">
        <v>485</v>
      </c>
      <c r="L3" s="447"/>
      <c r="N3" s="447" t="s">
        <v>489</v>
      </c>
      <c r="O3" s="447"/>
      <c r="Q3" s="447" t="s">
        <v>496</v>
      </c>
      <c r="R3" s="447"/>
    </row>
    <row r="4" spans="1:18" ht="47.25">
      <c r="A4" s="127" t="s">
        <v>267</v>
      </c>
      <c r="B4" s="127" t="s">
        <v>5</v>
      </c>
      <c r="C4" s="128" t="s">
        <v>455</v>
      </c>
      <c r="D4" s="128" t="s">
        <v>457</v>
      </c>
      <c r="E4" s="128" t="s">
        <v>456</v>
      </c>
      <c r="F4" s="128" t="s">
        <v>478</v>
      </c>
      <c r="H4" s="262" t="s">
        <v>479</v>
      </c>
      <c r="I4" s="262" t="s">
        <v>480</v>
      </c>
      <c r="K4" s="262" t="s">
        <v>479</v>
      </c>
      <c r="L4" s="262" t="s">
        <v>480</v>
      </c>
      <c r="N4" s="262" t="s">
        <v>479</v>
      </c>
      <c r="O4" s="262" t="s">
        <v>480</v>
      </c>
      <c r="Q4" s="262" t="s">
        <v>479</v>
      </c>
      <c r="R4" s="262" t="s">
        <v>480</v>
      </c>
    </row>
    <row r="5" spans="1:18">
      <c r="A5" s="121" t="s">
        <v>269</v>
      </c>
      <c r="B5" s="121" t="s">
        <v>270</v>
      </c>
      <c r="C5" s="122">
        <f>Rozpis_Příjmy!L20</f>
        <v>4972000</v>
      </c>
      <c r="D5" s="122">
        <f>Rozpis_Příjmy!AH20</f>
        <v>4661600</v>
      </c>
      <c r="E5" s="122">
        <f>Rozpis_Příjmy!AL20</f>
        <v>4655908.6900000004</v>
      </c>
      <c r="F5" s="122">
        <f>Rozpis_Příjmy!AN20</f>
        <v>4104000</v>
      </c>
      <c r="H5" s="122">
        <f>Rozpis_Příjmy!AZ20</f>
        <v>0</v>
      </c>
      <c r="I5" s="122">
        <f>Rozpis_Příjmy!BA20</f>
        <v>4104000</v>
      </c>
      <c r="K5" s="122">
        <f>Rozpis_Příjmy!BC20</f>
        <v>0</v>
      </c>
      <c r="L5" s="122">
        <f>Rozpis_Příjmy!BD20</f>
        <v>4104000</v>
      </c>
      <c r="N5" s="122">
        <f>Rozpis_Příjmy!BF20</f>
        <v>0</v>
      </c>
      <c r="O5" s="122">
        <f>Rozpis_Příjmy!BG20</f>
        <v>4104000</v>
      </c>
      <c r="Q5" s="122">
        <f>Rozpis_Příjmy!BI20</f>
        <v>792000</v>
      </c>
      <c r="R5" s="122">
        <f>Rozpis_Příjmy!BJ20</f>
        <v>4896000</v>
      </c>
    </row>
    <row r="6" spans="1:18">
      <c r="A6" s="121" t="s">
        <v>271</v>
      </c>
      <c r="B6" s="121" t="s">
        <v>272</v>
      </c>
      <c r="C6" s="122">
        <f>Rozpis_Příjmy!L88</f>
        <v>241200</v>
      </c>
      <c r="D6" s="122">
        <f>Rozpis_Příjmy!AH88</f>
        <v>240800</v>
      </c>
      <c r="E6" s="122">
        <f>Rozpis_Příjmy!AL88</f>
        <v>219140.41</v>
      </c>
      <c r="F6" s="122">
        <f>Rozpis_Příjmy!AN88</f>
        <v>203000</v>
      </c>
      <c r="H6" s="122">
        <f>Rozpis_Příjmy!AZ88</f>
        <v>0</v>
      </c>
      <c r="I6" s="122">
        <f>Rozpis_Příjmy!BA88</f>
        <v>203000</v>
      </c>
      <c r="K6" s="122">
        <f>Rozpis_Příjmy!BC88</f>
        <v>0</v>
      </c>
      <c r="L6" s="122">
        <f>Rozpis_Příjmy!BD88</f>
        <v>203000</v>
      </c>
      <c r="N6" s="122">
        <f>Rozpis_Příjmy!BF88</f>
        <v>0</v>
      </c>
      <c r="O6" s="122">
        <f>Rozpis_Příjmy!BG88</f>
        <v>203000</v>
      </c>
      <c r="Q6" s="122">
        <f>Rozpis_Příjmy!BI88</f>
        <v>87800</v>
      </c>
      <c r="R6" s="122">
        <f>Rozpis_Příjmy!BJ88</f>
        <v>290800</v>
      </c>
    </row>
    <row r="7" spans="1:18">
      <c r="A7" s="121" t="s">
        <v>273</v>
      </c>
      <c r="B7" s="121" t="s">
        <v>274</v>
      </c>
      <c r="C7" s="122">
        <f>Rozpis_Příjmy!L66</f>
        <v>1000</v>
      </c>
      <c r="D7" s="122">
        <f>Rozpis_Příjmy!AH66</f>
        <v>28590</v>
      </c>
      <c r="E7" s="122">
        <f>Rozpis_Příjmy!AL66</f>
        <v>28557</v>
      </c>
      <c r="F7" s="122">
        <f>Rozpis_Příjmy!AN66</f>
        <v>1000</v>
      </c>
      <c r="H7" s="122">
        <f>Rozpis_Příjmy!AZ66</f>
        <v>0</v>
      </c>
      <c r="I7" s="122">
        <f>Rozpis_Příjmy!BA66</f>
        <v>1000</v>
      </c>
      <c r="K7" s="122">
        <f>Rozpis_Příjmy!BC66</f>
        <v>0</v>
      </c>
      <c r="L7" s="122">
        <f>Rozpis_Příjmy!BD66</f>
        <v>1000</v>
      </c>
      <c r="N7" s="122">
        <f>Rozpis_Příjmy!BF66</f>
        <v>0</v>
      </c>
      <c r="O7" s="122">
        <f>Rozpis_Příjmy!BG66</f>
        <v>1000</v>
      </c>
      <c r="Q7" s="122">
        <f>Rozpis_Příjmy!BI66</f>
        <v>149000</v>
      </c>
      <c r="R7" s="122">
        <f>Rozpis_Příjmy!BJ66</f>
        <v>150000</v>
      </c>
    </row>
    <row r="8" spans="1:18">
      <c r="A8" s="121" t="s">
        <v>275</v>
      </c>
      <c r="B8" s="121" t="s">
        <v>276</v>
      </c>
      <c r="C8" s="122">
        <f>Rozpis_Příjmy!L30</f>
        <v>76800</v>
      </c>
      <c r="D8" s="122">
        <f>Rozpis_Příjmy!AH30</f>
        <v>1304250</v>
      </c>
      <c r="E8" s="122">
        <f>Rozpis_Příjmy!AL30</f>
        <v>1296911</v>
      </c>
      <c r="F8" s="122">
        <f>Rozpis_Příjmy!AN30</f>
        <v>84000</v>
      </c>
      <c r="H8" s="122">
        <f>Rozpis_Příjmy!AZ30</f>
        <v>211541.07</v>
      </c>
      <c r="I8" s="122">
        <f>Rozpis_Příjmy!BA30</f>
        <v>295541.07</v>
      </c>
      <c r="K8" s="122">
        <f>Rozpis_Příjmy!BC30</f>
        <v>0</v>
      </c>
      <c r="L8" s="122">
        <f>Rozpis_Příjmy!BD30</f>
        <v>295541.07</v>
      </c>
      <c r="N8" s="122">
        <f>Rozpis_Příjmy!BF30</f>
        <v>49297.26</v>
      </c>
      <c r="O8" s="122">
        <f>Rozpis_Příjmy!BG30</f>
        <v>344838.33</v>
      </c>
      <c r="Q8" s="122">
        <f>Rozpis_Příjmy!BI30</f>
        <v>63687.91</v>
      </c>
      <c r="R8" s="122">
        <f>Rozpis_Příjmy!BJ30</f>
        <v>408526.24</v>
      </c>
    </row>
    <row r="9" spans="1:18" s="133" customFormat="1" ht="16.5" thickBot="1">
      <c r="A9" s="131" t="s">
        <v>265</v>
      </c>
      <c r="B9" s="131"/>
      <c r="C9" s="132">
        <f>SUM(C5:C8)</f>
        <v>5291000</v>
      </c>
      <c r="D9" s="132">
        <f>SUM(D5:D8)</f>
        <v>6235240</v>
      </c>
      <c r="E9" s="132">
        <f>SUM(E5:E8)</f>
        <v>6200517.1000000006</v>
      </c>
      <c r="F9" s="132">
        <f>SUM(F5:F8)</f>
        <v>4392000</v>
      </c>
      <c r="H9" s="132">
        <f>SUM(H5:H8)</f>
        <v>211541.07</v>
      </c>
      <c r="I9" s="132">
        <f>SUM(I5:I8)</f>
        <v>4603541.07</v>
      </c>
      <c r="K9" s="132">
        <f>SUM(K5:K8)</f>
        <v>0</v>
      </c>
      <c r="L9" s="132">
        <f>SUM(L5:L8)</f>
        <v>4603541.07</v>
      </c>
      <c r="N9" s="132">
        <f>SUM(N5:N8)</f>
        <v>49297.26</v>
      </c>
      <c r="O9" s="132">
        <f>SUM(O5:O8)</f>
        <v>4652838.33</v>
      </c>
      <c r="Q9" s="132">
        <f>SUM(Q5:Q8)</f>
        <v>1092487.9099999999</v>
      </c>
      <c r="R9" s="132">
        <f>SUM(R5:R8)</f>
        <v>5745326.2400000002</v>
      </c>
    </row>
    <row r="11" spans="1:18" ht="15.75">
      <c r="A11" s="127" t="s">
        <v>277</v>
      </c>
      <c r="B11" s="127" t="s">
        <v>5</v>
      </c>
      <c r="C11" s="127"/>
      <c r="D11" s="127"/>
      <c r="E11" s="127"/>
      <c r="F11" s="130"/>
      <c r="H11" s="261"/>
      <c r="I11" s="261"/>
      <c r="K11" s="261"/>
      <c r="L11" s="261"/>
      <c r="N11" s="261"/>
      <c r="O11" s="261"/>
      <c r="Q11" s="261"/>
      <c r="R11" s="261"/>
    </row>
    <row r="12" spans="1:18">
      <c r="A12" s="121" t="s">
        <v>278</v>
      </c>
      <c r="B12" s="121" t="s">
        <v>279</v>
      </c>
      <c r="C12" s="122">
        <f>Rozpis_Výdaje!L304</f>
        <v>4309999.92</v>
      </c>
      <c r="D12" s="122">
        <f>Rozpis_Výdaje!AE304</f>
        <v>4954150</v>
      </c>
      <c r="E12" s="122">
        <f>Rozpis_Výdaje!AH304</f>
        <v>4665142.3800000008</v>
      </c>
      <c r="F12" s="122">
        <f>Rozpis_Výdaje!AK304</f>
        <v>4265000</v>
      </c>
      <c r="H12" s="122">
        <f>Rozpis_Výdaje!AR304</f>
        <v>100000</v>
      </c>
      <c r="I12" s="122">
        <f>Rozpis_Výdaje!AS304</f>
        <v>4365000</v>
      </c>
      <c r="K12" s="122">
        <f>Rozpis_Výdaje!AU304</f>
        <v>150300</v>
      </c>
      <c r="L12" s="122">
        <f>Rozpis_Výdaje!AV304</f>
        <v>4515300</v>
      </c>
      <c r="N12" s="122">
        <f>Rozpis_Výdaje!AX304</f>
        <v>49297.26</v>
      </c>
      <c r="O12" s="122">
        <f>Rozpis_Výdaje!AY304</f>
        <v>4564597.26</v>
      </c>
      <c r="Q12" s="122">
        <f>Rozpis_Výdaje!BD304</f>
        <v>845803</v>
      </c>
      <c r="R12" s="122">
        <f>Rozpis_Výdaje!BE304</f>
        <v>5410400.2599999998</v>
      </c>
    </row>
    <row r="13" spans="1:18">
      <c r="A13" s="266" t="s">
        <v>465</v>
      </c>
      <c r="B13" s="121">
        <v>5171</v>
      </c>
      <c r="C13" s="122">
        <f>Rozpis_Výdaje!L305</f>
        <v>446000</v>
      </c>
      <c r="D13" s="122">
        <f>Rozpis_Výdaje!AE305</f>
        <v>935250</v>
      </c>
      <c r="E13" s="122">
        <f>Rozpis_Výdaje!AH305</f>
        <v>897748.58000000007</v>
      </c>
      <c r="F13" s="122">
        <f>Rozpis_Výdaje!AK305</f>
        <v>400000</v>
      </c>
      <c r="H13" s="122">
        <f>Rozpis_Výdaje!AR305</f>
        <v>0</v>
      </c>
      <c r="I13" s="122">
        <f>Rozpis_Výdaje!AS305</f>
        <v>400000</v>
      </c>
      <c r="K13" s="122">
        <f>Rozpis_Výdaje!AU305</f>
        <v>0</v>
      </c>
      <c r="L13" s="122">
        <f>Rozpis_Výdaje!AV305</f>
        <v>400000</v>
      </c>
      <c r="N13" s="122">
        <f>Rozpis_Výdaje!AX305</f>
        <v>49297.26</v>
      </c>
      <c r="O13" s="122">
        <f>Rozpis_Výdaje!AY305</f>
        <v>449297.26</v>
      </c>
      <c r="Q13" s="122">
        <f>Rozpis_Výdaje!BD305</f>
        <v>491203</v>
      </c>
      <c r="R13" s="122">
        <f>Rozpis_Výdaje!BE305</f>
        <v>940500.26</v>
      </c>
    </row>
    <row r="14" spans="1:18">
      <c r="A14" s="121" t="s">
        <v>280</v>
      </c>
      <c r="B14" s="121" t="s">
        <v>281</v>
      </c>
      <c r="C14" s="122">
        <f>Rozpis_Výdaje!L307</f>
        <v>1760000</v>
      </c>
      <c r="D14" s="122">
        <f>Rozpis_Výdaje!AE307</f>
        <v>1365610</v>
      </c>
      <c r="E14" s="122">
        <f>Rozpis_Výdaje!AH307</f>
        <v>1363785.12</v>
      </c>
      <c r="F14" s="122">
        <f>Rozpis_Výdaje!AK307</f>
        <v>564000</v>
      </c>
      <c r="G14" s="121" t="s">
        <v>464</v>
      </c>
      <c r="H14" s="122">
        <f>Rozpis_Výdaje!AR307</f>
        <v>0</v>
      </c>
      <c r="I14" s="122">
        <f>Rozpis_Výdaje!AS307</f>
        <v>564000</v>
      </c>
      <c r="K14" s="122">
        <f>Rozpis_Výdaje!AU307</f>
        <v>0</v>
      </c>
      <c r="L14" s="122">
        <f>Rozpis_Výdaje!AV307</f>
        <v>564000</v>
      </c>
      <c r="N14" s="122">
        <f>Rozpis_Výdaje!AX307</f>
        <v>0</v>
      </c>
      <c r="O14" s="122">
        <f>Rozpis_Výdaje!AY307</f>
        <v>564000</v>
      </c>
      <c r="Q14" s="122">
        <f>Rozpis_Výdaje!BD307</f>
        <v>-416900</v>
      </c>
      <c r="R14" s="122">
        <f>Rozpis_Výdaje!BE307</f>
        <v>147100</v>
      </c>
    </row>
    <row r="15" spans="1:18" s="133" customFormat="1" ht="16.5" thickBot="1">
      <c r="A15" s="131" t="s">
        <v>266</v>
      </c>
      <c r="B15" s="131"/>
      <c r="C15" s="132">
        <f>C12+C14</f>
        <v>6069999.9199999999</v>
      </c>
      <c r="D15" s="132">
        <f>D12+D14</f>
        <v>6319760</v>
      </c>
      <c r="E15" s="132">
        <f>E12+E14</f>
        <v>6028927.5000000009</v>
      </c>
      <c r="F15" s="132">
        <f>F12+F14</f>
        <v>4829000</v>
      </c>
      <c r="H15" s="132">
        <f t="shared" ref="H15:I15" si="0">H12+H14</f>
        <v>100000</v>
      </c>
      <c r="I15" s="132">
        <f t="shared" si="0"/>
        <v>4929000</v>
      </c>
      <c r="K15" s="132">
        <f t="shared" ref="K15:L15" si="1">K12+K14</f>
        <v>150300</v>
      </c>
      <c r="L15" s="132">
        <f t="shared" si="1"/>
        <v>5079300</v>
      </c>
      <c r="N15" s="132">
        <f t="shared" ref="N15:O15" si="2">N12+N14</f>
        <v>49297.26</v>
      </c>
      <c r="O15" s="132">
        <f t="shared" si="2"/>
        <v>5128597.26</v>
      </c>
      <c r="Q15" s="132">
        <f>Q12+Q14</f>
        <v>428903</v>
      </c>
      <c r="R15" s="132">
        <f>R12+R14</f>
        <v>5557500.2599999998</v>
      </c>
    </row>
    <row r="17" spans="1:18" ht="15.75" thickBot="1">
      <c r="A17" s="123" t="s">
        <v>282</v>
      </c>
      <c r="B17" s="123"/>
      <c r="C17" s="124">
        <f>C9-C15</f>
        <v>-778999.91999999993</v>
      </c>
      <c r="D17" s="124">
        <f>D9-D15</f>
        <v>-84520</v>
      </c>
      <c r="E17" s="124">
        <f>E9-E15</f>
        <v>171589.59999999963</v>
      </c>
      <c r="F17" s="124">
        <f>F9-F15</f>
        <v>-437000</v>
      </c>
      <c r="H17" s="124">
        <f>H9-H15</f>
        <v>111541.07</v>
      </c>
      <c r="I17" s="124">
        <f t="shared" ref="I17" si="3">I9-I15</f>
        <v>-325458.9299999997</v>
      </c>
      <c r="K17" s="124">
        <f>K9-K15</f>
        <v>-150300</v>
      </c>
      <c r="L17" s="124">
        <f t="shared" ref="L17" si="4">L9-L15</f>
        <v>-475758.9299999997</v>
      </c>
      <c r="N17" s="124">
        <f>N9-N15</f>
        <v>0</v>
      </c>
      <c r="O17" s="124">
        <f t="shared" ref="O17" si="5">O9-O15</f>
        <v>-475758.9299999997</v>
      </c>
      <c r="Q17" s="124">
        <f>Q9-Q15</f>
        <v>663584.90999999992</v>
      </c>
      <c r="R17" s="124">
        <f>R9-R15</f>
        <v>187825.98000000045</v>
      </c>
    </row>
    <row r="19" spans="1:18" ht="15.75">
      <c r="A19" s="127" t="s">
        <v>283</v>
      </c>
      <c r="B19" s="127" t="s">
        <v>5</v>
      </c>
      <c r="C19" s="127"/>
      <c r="D19" s="127"/>
      <c r="E19" s="127"/>
      <c r="F19" s="130"/>
      <c r="H19" s="261"/>
      <c r="I19" s="261"/>
      <c r="K19" s="261"/>
      <c r="L19" s="261"/>
      <c r="N19" s="261"/>
      <c r="O19" s="261"/>
      <c r="Q19" s="261"/>
      <c r="R19" s="261"/>
    </row>
    <row r="20" spans="1:18">
      <c r="A20" s="121" t="s">
        <v>284</v>
      </c>
      <c r="B20" s="121">
        <v>8115</v>
      </c>
      <c r="C20" s="122">
        <v>779000</v>
      </c>
      <c r="D20" s="122">
        <v>84520</v>
      </c>
      <c r="E20" s="122">
        <v>0</v>
      </c>
      <c r="F20" s="122">
        <v>437000</v>
      </c>
      <c r="H20" s="122">
        <v>0</v>
      </c>
      <c r="I20" s="122">
        <f>F20+H21</f>
        <v>325459</v>
      </c>
      <c r="K20" s="122">
        <v>150300</v>
      </c>
      <c r="L20" s="122">
        <f>I20+K20</f>
        <v>475759</v>
      </c>
      <c r="N20" s="122">
        <v>0</v>
      </c>
      <c r="O20" s="122">
        <f>L20+N20</f>
        <v>475759</v>
      </c>
      <c r="Q20" s="122">
        <v>0</v>
      </c>
      <c r="R20" s="122">
        <v>0</v>
      </c>
    </row>
    <row r="21" spans="1:18">
      <c r="A21" s="121" t="s">
        <v>367</v>
      </c>
      <c r="B21" s="121">
        <v>8115</v>
      </c>
      <c r="C21" s="122">
        <v>0</v>
      </c>
      <c r="D21" s="122">
        <v>0</v>
      </c>
      <c r="E21" s="122">
        <f>-E17</f>
        <v>-171589.59999999963</v>
      </c>
      <c r="F21" s="122">
        <v>0</v>
      </c>
      <c r="H21" s="122">
        <v>-111541</v>
      </c>
      <c r="I21" s="122">
        <v>0</v>
      </c>
      <c r="K21" s="122">
        <v>0</v>
      </c>
      <c r="L21" s="122">
        <v>0</v>
      </c>
      <c r="N21" s="122">
        <v>0</v>
      </c>
      <c r="O21" s="122">
        <v>0</v>
      </c>
      <c r="Q21" s="122">
        <f>-Q17</f>
        <v>-663584.90999999992</v>
      </c>
      <c r="R21" s="122">
        <f>-R17</f>
        <v>-187825.98000000045</v>
      </c>
    </row>
    <row r="22" spans="1:18">
      <c r="A22" s="121" t="s">
        <v>363</v>
      </c>
      <c r="B22" s="121">
        <v>8123</v>
      </c>
      <c r="C22" s="122">
        <v>0</v>
      </c>
      <c r="D22" s="122">
        <v>0</v>
      </c>
      <c r="E22" s="122">
        <v>0</v>
      </c>
      <c r="F22" s="122">
        <v>0</v>
      </c>
      <c r="H22" s="122">
        <v>0</v>
      </c>
      <c r="I22" s="122">
        <v>0</v>
      </c>
      <c r="K22" s="122">
        <v>0</v>
      </c>
      <c r="L22" s="122">
        <v>0</v>
      </c>
      <c r="N22" s="122">
        <v>0</v>
      </c>
      <c r="O22" s="122">
        <v>0</v>
      </c>
      <c r="Q22" s="122">
        <v>0</v>
      </c>
      <c r="R22" s="122">
        <v>0</v>
      </c>
    </row>
    <row r="23" spans="1:18" s="133" customFormat="1" ht="17.25" customHeight="1" thickBot="1">
      <c r="A23" s="131" t="s">
        <v>364</v>
      </c>
      <c r="B23" s="131"/>
      <c r="C23" s="132">
        <f>SUM(C20:C22)</f>
        <v>779000</v>
      </c>
      <c r="D23" s="132">
        <f>SUM(D20:D22)</f>
        <v>84520</v>
      </c>
      <c r="E23" s="132">
        <f>SUM(E20:E22)</f>
        <v>-171589.59999999963</v>
      </c>
      <c r="F23" s="132">
        <f>SUM(F20:F22)</f>
        <v>437000</v>
      </c>
      <c r="H23" s="132">
        <f>SUM(H20:H22)</f>
        <v>-111541</v>
      </c>
      <c r="I23" s="132">
        <f>SUM(I20:I22)</f>
        <v>325459</v>
      </c>
      <c r="K23" s="132">
        <f>SUM(K20:K22)</f>
        <v>150300</v>
      </c>
      <c r="L23" s="132">
        <f>SUM(L20:L22)</f>
        <v>475759</v>
      </c>
      <c r="N23" s="132">
        <f>SUM(N20:N22)</f>
        <v>0</v>
      </c>
      <c r="O23" s="132">
        <f>SUM(O20:O22)</f>
        <v>475759</v>
      </c>
      <c r="Q23" s="132">
        <f>SUM(Q20:Q22)</f>
        <v>-663584.90999999992</v>
      </c>
      <c r="R23" s="132">
        <f>SUM(R20:R22)</f>
        <v>-187825.98000000045</v>
      </c>
    </row>
    <row r="24" spans="1:18">
      <c r="H24" s="122"/>
      <c r="I24" s="122"/>
      <c r="K24" s="122"/>
      <c r="L24" s="122"/>
      <c r="N24" s="122"/>
      <c r="O24" s="122"/>
      <c r="Q24" s="122"/>
      <c r="R24" s="122"/>
    </row>
    <row r="25" spans="1:18" ht="15.75" thickBot="1">
      <c r="A25" s="125" t="s">
        <v>365</v>
      </c>
      <c r="B25" s="125"/>
      <c r="C25" s="126">
        <f>C9-C15+C23</f>
        <v>8.0000000074505806E-2</v>
      </c>
      <c r="D25" s="126">
        <f>D9-D15+D23</f>
        <v>0</v>
      </c>
      <c r="E25" s="126">
        <f>E9-E15+E23</f>
        <v>0</v>
      </c>
      <c r="F25" s="126">
        <f>F9-F15+F23</f>
        <v>0</v>
      </c>
      <c r="H25" s="126">
        <f>H9-H15+H23</f>
        <v>7.0000000006984919E-2</v>
      </c>
      <c r="I25" s="126">
        <f>I9-I15+I23</f>
        <v>7.0000000298023224E-2</v>
      </c>
      <c r="K25" s="126">
        <f>K9-K15+K23</f>
        <v>0</v>
      </c>
      <c r="L25" s="126">
        <f>L9-L15+L23</f>
        <v>7.0000000298023224E-2</v>
      </c>
      <c r="N25" s="126">
        <f>N9-N15+N23</f>
        <v>0</v>
      </c>
      <c r="O25" s="126">
        <f>O9-O15+O23</f>
        <v>7.0000000298023224E-2</v>
      </c>
      <c r="Q25" s="126">
        <f>Q9-Q15+Q23</f>
        <v>0</v>
      </c>
      <c r="R25" s="126">
        <f>R9-R15+R23</f>
        <v>0</v>
      </c>
    </row>
    <row r="27" spans="1:18">
      <c r="A27" s="121" t="s">
        <v>481</v>
      </c>
    </row>
    <row r="28" spans="1:18">
      <c r="A28" s="121" t="s">
        <v>477</v>
      </c>
    </row>
    <row r="29" spans="1:18">
      <c r="A29" s="121" t="s">
        <v>484</v>
      </c>
      <c r="B29" s="150"/>
    </row>
    <row r="30" spans="1:18">
      <c r="A30" s="121" t="s">
        <v>488</v>
      </c>
      <c r="B30" s="150"/>
      <c r="J30" s="259"/>
    </row>
    <row r="31" spans="1:18">
      <c r="A31" s="121" t="s">
        <v>499</v>
      </c>
      <c r="B31" s="150"/>
      <c r="J31" s="259" t="s">
        <v>468</v>
      </c>
    </row>
    <row r="32" spans="1:18">
      <c r="J32" s="259" t="s">
        <v>469</v>
      </c>
    </row>
    <row r="33" spans="1:1">
      <c r="A33" s="120" t="s">
        <v>500</v>
      </c>
    </row>
    <row r="34" spans="1:1">
      <c r="A34" s="120"/>
    </row>
    <row r="35" spans="1:1">
      <c r="A35" s="120" t="s">
        <v>387</v>
      </c>
    </row>
  </sheetData>
  <mergeCells count="5">
    <mergeCell ref="A2:F2"/>
    <mergeCell ref="H3:I3"/>
    <mergeCell ref="K3:L3"/>
    <mergeCell ref="N3:O3"/>
    <mergeCell ref="Q3:R3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M35" sqref="M35"/>
    </sheetView>
  </sheetViews>
  <sheetFormatPr defaultRowHeight="15"/>
  <cols>
    <col min="2" max="2" width="20" bestFit="1" customWidth="1"/>
    <col min="3" max="3" width="9.140625" style="18"/>
    <col min="7" max="7" width="9.140625" style="18"/>
  </cols>
  <sheetData>
    <row r="2" spans="1:8">
      <c r="A2" t="s">
        <v>553</v>
      </c>
      <c r="G2" s="18" t="s">
        <v>545</v>
      </c>
    </row>
    <row r="3" spans="1:8">
      <c r="A3">
        <v>221</v>
      </c>
      <c r="B3" s="4" t="s">
        <v>123</v>
      </c>
      <c r="C3" s="18">
        <v>30000</v>
      </c>
      <c r="D3" t="s">
        <v>544</v>
      </c>
    </row>
    <row r="4" spans="1:8">
      <c r="C4" s="18">
        <v>100000</v>
      </c>
      <c r="D4" t="s">
        <v>543</v>
      </c>
    </row>
    <row r="5" spans="1:8">
      <c r="C5" s="347">
        <v>115000</v>
      </c>
      <c r="D5" t="s">
        <v>542</v>
      </c>
      <c r="G5" s="18">
        <v>54000</v>
      </c>
      <c r="H5" t="s">
        <v>531</v>
      </c>
    </row>
    <row r="7" spans="1:8">
      <c r="A7">
        <v>3319</v>
      </c>
      <c r="B7" t="s">
        <v>541</v>
      </c>
      <c r="C7" s="18">
        <v>0</v>
      </c>
      <c r="D7" t="s">
        <v>540</v>
      </c>
    </row>
    <row r="9" spans="1:8">
      <c r="A9">
        <v>3613</v>
      </c>
      <c r="B9" t="s">
        <v>176</v>
      </c>
      <c r="C9" s="347">
        <v>1720000</v>
      </c>
      <c r="D9" t="s">
        <v>539</v>
      </c>
      <c r="G9" s="160">
        <v>1145000</v>
      </c>
      <c r="H9" t="s">
        <v>538</v>
      </c>
    </row>
    <row r="10" spans="1:8">
      <c r="C10" s="347">
        <v>315000</v>
      </c>
      <c r="D10" t="s">
        <v>537</v>
      </c>
    </row>
    <row r="12" spans="1:8">
      <c r="A12">
        <v>3636</v>
      </c>
      <c r="B12" t="s">
        <v>514</v>
      </c>
      <c r="C12" s="347">
        <v>311000</v>
      </c>
      <c r="D12" t="s">
        <v>536</v>
      </c>
      <c r="G12" s="18">
        <v>155500</v>
      </c>
      <c r="H12" t="s">
        <v>531</v>
      </c>
    </row>
    <row r="14" spans="1:8">
      <c r="A14">
        <v>3639</v>
      </c>
      <c r="B14" t="s">
        <v>548</v>
      </c>
      <c r="C14" s="18">
        <f>Rozpis_Výdaje!BM126</f>
        <v>500000</v>
      </c>
      <c r="D14" t="s">
        <v>549</v>
      </c>
      <c r="H14" t="s">
        <v>550</v>
      </c>
    </row>
    <row r="17" spans="1:8">
      <c r="A17">
        <v>3745</v>
      </c>
      <c r="B17" t="s">
        <v>535</v>
      </c>
      <c r="C17" s="347">
        <v>1590000</v>
      </c>
      <c r="D17" t="s">
        <v>534</v>
      </c>
      <c r="G17" s="18">
        <v>1400000</v>
      </c>
      <c r="H17" t="s">
        <v>554</v>
      </c>
    </row>
    <row r="18" spans="1:8">
      <c r="C18" s="347">
        <v>35400</v>
      </c>
      <c r="D18" t="s">
        <v>546</v>
      </c>
      <c r="H18" s="18" t="s">
        <v>547</v>
      </c>
    </row>
    <row r="19" spans="1:8">
      <c r="H19" s="18"/>
    </row>
    <row r="20" spans="1:8">
      <c r="A20">
        <v>5512</v>
      </c>
      <c r="B20" t="s">
        <v>533</v>
      </c>
      <c r="C20" s="160">
        <v>29000</v>
      </c>
      <c r="D20" t="s">
        <v>532</v>
      </c>
      <c r="G20" s="18">
        <v>28500</v>
      </c>
      <c r="H20" t="s">
        <v>531</v>
      </c>
    </row>
    <row r="22" spans="1:8">
      <c r="A22">
        <v>6330</v>
      </c>
      <c r="B22" t="s">
        <v>530</v>
      </c>
      <c r="C22" s="269">
        <v>350000</v>
      </c>
      <c r="D22" t="s">
        <v>529</v>
      </c>
      <c r="G22" s="18">
        <v>90400</v>
      </c>
      <c r="H22" t="s">
        <v>528</v>
      </c>
    </row>
    <row r="25" spans="1:8">
      <c r="B25" t="s">
        <v>527</v>
      </c>
      <c r="C25" s="18">
        <f>SUM(C3:C24)</f>
        <v>5095400</v>
      </c>
      <c r="G25" s="18">
        <f>SUM(G3:G24)</f>
        <v>2873400</v>
      </c>
    </row>
    <row r="29" spans="1:8">
      <c r="B29" t="s">
        <v>551</v>
      </c>
      <c r="C29" s="18" t="s">
        <v>552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G25" sqref="G25"/>
    </sheetView>
  </sheetViews>
  <sheetFormatPr defaultRowHeight="15"/>
  <sheetData>
    <row r="2" spans="1:3">
      <c r="A2" s="18" t="s">
        <v>592</v>
      </c>
      <c r="B2" s="18">
        <v>53068</v>
      </c>
      <c r="C2" s="18">
        <f>B2*12</f>
        <v>636816</v>
      </c>
    </row>
    <row r="3" spans="1:3">
      <c r="A3" s="18" t="s">
        <v>593</v>
      </c>
      <c r="B3" s="18">
        <v>13026</v>
      </c>
      <c r="C3" s="18">
        <f t="shared" ref="C3:C6" si="0">B3*12</f>
        <v>156312</v>
      </c>
    </row>
    <row r="4" spans="1:3">
      <c r="A4" s="18" t="s">
        <v>594</v>
      </c>
      <c r="B4" s="18">
        <v>650</v>
      </c>
      <c r="C4" s="18">
        <f t="shared" si="0"/>
        <v>7800</v>
      </c>
    </row>
    <row r="5" spans="1:3">
      <c r="A5" s="18" t="s">
        <v>595</v>
      </c>
      <c r="B5" s="18">
        <v>650</v>
      </c>
      <c r="C5" s="18">
        <f t="shared" si="0"/>
        <v>7800</v>
      </c>
    </row>
    <row r="6" spans="1:3">
      <c r="A6" s="18" t="s">
        <v>596</v>
      </c>
      <c r="B6" s="18">
        <v>500</v>
      </c>
      <c r="C6" s="18">
        <f t="shared" si="0"/>
        <v>6000</v>
      </c>
    </row>
    <row r="7" spans="1:3">
      <c r="A7" s="18"/>
      <c r="B7" s="18"/>
      <c r="C7" s="18">
        <f>SUM(C2:C6)</f>
        <v>814728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workbookViewId="0"/>
  </sheetViews>
  <sheetFormatPr defaultColWidth="9.140625" defaultRowHeight="15"/>
  <cols>
    <col min="1" max="1" width="29.7109375" style="121" customWidth="1"/>
    <col min="2" max="2" width="8.85546875" style="121" customWidth="1"/>
    <col min="3" max="3" width="14.85546875" style="121" customWidth="1"/>
    <col min="4" max="4" width="13.7109375" style="121" customWidth="1"/>
    <col min="5" max="5" width="14.7109375" style="121" customWidth="1"/>
    <col min="6" max="6" width="15.42578125" style="122" customWidth="1"/>
    <col min="7" max="7" width="1.7109375" style="121" customWidth="1"/>
    <col min="8" max="8" width="11" style="121" customWidth="1"/>
    <col min="9" max="9" width="12" style="121" customWidth="1"/>
    <col min="10" max="10" width="1.5703125" style="121" customWidth="1"/>
    <col min="11" max="11" width="10.7109375" style="121" customWidth="1"/>
    <col min="12" max="12" width="12.140625" style="121" customWidth="1"/>
    <col min="13" max="13" width="1.28515625" style="121" customWidth="1"/>
    <col min="14" max="14" width="11" style="121" customWidth="1"/>
    <col min="15" max="15" width="11.85546875" style="121" customWidth="1"/>
    <col min="16" max="16" width="1.140625" style="121" customWidth="1"/>
    <col min="17" max="16384" width="9.140625" style="121"/>
  </cols>
  <sheetData>
    <row r="2" spans="1:15" ht="23.25">
      <c r="A2" s="446" t="s">
        <v>471</v>
      </c>
      <c r="B2" s="446"/>
      <c r="C2" s="446"/>
      <c r="D2" s="446"/>
      <c r="E2" s="446"/>
      <c r="F2" s="446"/>
    </row>
    <row r="3" spans="1:15" s="120" customFormat="1" ht="33" customHeight="1">
      <c r="F3" s="267"/>
      <c r="H3" s="447" t="s">
        <v>476</v>
      </c>
      <c r="I3" s="447"/>
      <c r="K3" s="447" t="s">
        <v>485</v>
      </c>
      <c r="L3" s="447"/>
      <c r="N3" s="447" t="s">
        <v>489</v>
      </c>
      <c r="O3" s="447"/>
    </row>
    <row r="4" spans="1:15" ht="47.25">
      <c r="A4" s="127" t="s">
        <v>267</v>
      </c>
      <c r="B4" s="127" t="s">
        <v>5</v>
      </c>
      <c r="C4" s="128" t="s">
        <v>455</v>
      </c>
      <c r="D4" s="128" t="s">
        <v>457</v>
      </c>
      <c r="E4" s="128" t="s">
        <v>456</v>
      </c>
      <c r="F4" s="128" t="s">
        <v>478</v>
      </c>
      <c r="H4" s="262" t="s">
        <v>479</v>
      </c>
      <c r="I4" s="262" t="s">
        <v>480</v>
      </c>
      <c r="K4" s="262" t="s">
        <v>479</v>
      </c>
      <c r="L4" s="262" t="s">
        <v>480</v>
      </c>
      <c r="N4" s="262" t="s">
        <v>479</v>
      </c>
      <c r="O4" s="262" t="s">
        <v>480</v>
      </c>
    </row>
    <row r="5" spans="1:15">
      <c r="A5" s="121" t="s">
        <v>269</v>
      </c>
      <c r="B5" s="121" t="s">
        <v>270</v>
      </c>
      <c r="C5" s="122">
        <f>Rozpis_Příjmy!L20</f>
        <v>4972000</v>
      </c>
      <c r="D5" s="122">
        <f>Rozpis_Příjmy!AH20</f>
        <v>4661600</v>
      </c>
      <c r="E5" s="122">
        <f>Rozpis_Příjmy!AL20</f>
        <v>4655908.6900000004</v>
      </c>
      <c r="F5" s="122">
        <f>Rozpis_Příjmy!AN20</f>
        <v>4104000</v>
      </c>
      <c r="H5" s="122">
        <f>Rozpis_Příjmy!AZ20</f>
        <v>0</v>
      </c>
      <c r="I5" s="122">
        <f>Rozpis_Příjmy!BA20</f>
        <v>4104000</v>
      </c>
      <c r="K5" s="122">
        <f>Rozpis_Příjmy!BC20</f>
        <v>0</v>
      </c>
      <c r="L5" s="122">
        <f>Rozpis_Příjmy!BD20</f>
        <v>4104000</v>
      </c>
      <c r="N5" s="122">
        <f>Rozpis_Příjmy!BF20</f>
        <v>0</v>
      </c>
      <c r="O5" s="122">
        <f>Rozpis_Příjmy!BG20</f>
        <v>4104000</v>
      </c>
    </row>
    <row r="6" spans="1:15">
      <c r="A6" s="121" t="s">
        <v>271</v>
      </c>
      <c r="B6" s="121" t="s">
        <v>272</v>
      </c>
      <c r="C6" s="122">
        <f>Rozpis_Příjmy!L88</f>
        <v>241200</v>
      </c>
      <c r="D6" s="122">
        <f>Rozpis_Příjmy!AH88</f>
        <v>240800</v>
      </c>
      <c r="E6" s="122">
        <f>Rozpis_Příjmy!AL88</f>
        <v>219140.41</v>
      </c>
      <c r="F6" s="122">
        <f>Rozpis_Příjmy!AN88</f>
        <v>203000</v>
      </c>
      <c r="H6" s="122">
        <f>Rozpis_Příjmy!AZ88</f>
        <v>0</v>
      </c>
      <c r="I6" s="122">
        <f>Rozpis_Příjmy!BA88</f>
        <v>203000</v>
      </c>
      <c r="K6" s="122">
        <f>Rozpis_Příjmy!BC88</f>
        <v>0</v>
      </c>
      <c r="L6" s="122">
        <f>Rozpis_Příjmy!BD88</f>
        <v>203000</v>
      </c>
      <c r="N6" s="122">
        <f>Rozpis_Příjmy!BF88</f>
        <v>0</v>
      </c>
      <c r="O6" s="122">
        <f>Rozpis_Příjmy!BG88</f>
        <v>203000</v>
      </c>
    </row>
    <row r="7" spans="1:15">
      <c r="A7" s="121" t="s">
        <v>273</v>
      </c>
      <c r="B7" s="121" t="s">
        <v>274</v>
      </c>
      <c r="C7" s="122">
        <f>Rozpis_Příjmy!L66</f>
        <v>1000</v>
      </c>
      <c r="D7" s="122">
        <f>Rozpis_Příjmy!AH66</f>
        <v>28590</v>
      </c>
      <c r="E7" s="122">
        <f>Rozpis_Příjmy!AL66</f>
        <v>28557</v>
      </c>
      <c r="F7" s="122">
        <f>Rozpis_Příjmy!AN66</f>
        <v>1000</v>
      </c>
      <c r="H7" s="122">
        <f>Rozpis_Příjmy!AZ66</f>
        <v>0</v>
      </c>
      <c r="I7" s="122">
        <f>Rozpis_Příjmy!BA66</f>
        <v>1000</v>
      </c>
      <c r="K7" s="122">
        <f>Rozpis_Příjmy!BC66</f>
        <v>0</v>
      </c>
      <c r="L7" s="122">
        <f>Rozpis_Příjmy!BD66</f>
        <v>1000</v>
      </c>
      <c r="N7" s="122">
        <f>Rozpis_Příjmy!BF66</f>
        <v>0</v>
      </c>
      <c r="O7" s="122">
        <f>Rozpis_Příjmy!BG66</f>
        <v>1000</v>
      </c>
    </row>
    <row r="8" spans="1:15">
      <c r="A8" s="121" t="s">
        <v>275</v>
      </c>
      <c r="B8" s="121" t="s">
        <v>276</v>
      </c>
      <c r="C8" s="122">
        <f>Rozpis_Příjmy!L30</f>
        <v>76800</v>
      </c>
      <c r="D8" s="122">
        <f>Rozpis_Příjmy!AH30</f>
        <v>1304250</v>
      </c>
      <c r="E8" s="122">
        <f>Rozpis_Příjmy!AL30</f>
        <v>1296911</v>
      </c>
      <c r="F8" s="122">
        <f>Rozpis_Příjmy!AN30</f>
        <v>84000</v>
      </c>
      <c r="H8" s="122">
        <f>Rozpis_Příjmy!AZ30</f>
        <v>211541.07</v>
      </c>
      <c r="I8" s="122">
        <f>Rozpis_Příjmy!BA30</f>
        <v>295541.07</v>
      </c>
      <c r="K8" s="122">
        <f>Rozpis_Příjmy!BC30</f>
        <v>0</v>
      </c>
      <c r="L8" s="122">
        <f>Rozpis_Příjmy!BD30</f>
        <v>295541.07</v>
      </c>
      <c r="N8" s="122">
        <f>Rozpis_Příjmy!BF30</f>
        <v>49297.26</v>
      </c>
      <c r="O8" s="122">
        <f>Rozpis_Příjmy!BG30</f>
        <v>344838.33</v>
      </c>
    </row>
    <row r="9" spans="1:15" s="133" customFormat="1" ht="16.5" thickBot="1">
      <c r="A9" s="131" t="s">
        <v>265</v>
      </c>
      <c r="B9" s="131"/>
      <c r="C9" s="132">
        <f>SUM(C5:C8)</f>
        <v>5291000</v>
      </c>
      <c r="D9" s="132">
        <f>SUM(D5:D8)</f>
        <v>6235240</v>
      </c>
      <c r="E9" s="132">
        <f>SUM(E5:E8)</f>
        <v>6200517.1000000006</v>
      </c>
      <c r="F9" s="132">
        <f>SUM(F5:F8)</f>
        <v>4392000</v>
      </c>
      <c r="H9" s="132">
        <f>SUM(H5:H8)</f>
        <v>211541.07</v>
      </c>
      <c r="I9" s="132">
        <f>SUM(I5:I8)</f>
        <v>4603541.07</v>
      </c>
      <c r="K9" s="132">
        <f>SUM(K5:K8)</f>
        <v>0</v>
      </c>
      <c r="L9" s="132">
        <f>SUM(L5:L8)</f>
        <v>4603541.07</v>
      </c>
      <c r="N9" s="132">
        <f>SUM(N5:N8)</f>
        <v>49297.26</v>
      </c>
      <c r="O9" s="132">
        <f>SUM(O5:O8)</f>
        <v>4652838.33</v>
      </c>
    </row>
    <row r="11" spans="1:15" ht="15.75">
      <c r="A11" s="127" t="s">
        <v>277</v>
      </c>
      <c r="B11" s="127" t="s">
        <v>5</v>
      </c>
      <c r="C11" s="127"/>
      <c r="D11" s="127"/>
      <c r="E11" s="127"/>
      <c r="F11" s="130"/>
      <c r="H11" s="261"/>
      <c r="I11" s="261"/>
      <c r="K11" s="261"/>
      <c r="L11" s="261"/>
      <c r="N11" s="261"/>
      <c r="O11" s="261"/>
    </row>
    <row r="12" spans="1:15">
      <c r="A12" s="121" t="s">
        <v>278</v>
      </c>
      <c r="B12" s="121" t="s">
        <v>279</v>
      </c>
      <c r="C12" s="122">
        <f>Rozpis_Výdaje!L304</f>
        <v>4309999.92</v>
      </c>
      <c r="D12" s="122">
        <f>Rozpis_Výdaje!AE304</f>
        <v>4954150</v>
      </c>
      <c r="E12" s="122">
        <f>Rozpis_Výdaje!AH304</f>
        <v>4665142.3800000008</v>
      </c>
      <c r="F12" s="122">
        <f>Rozpis_Výdaje!AK304</f>
        <v>4265000</v>
      </c>
      <c r="H12" s="122">
        <f>Rozpis_Výdaje!AR304</f>
        <v>100000</v>
      </c>
      <c r="I12" s="122">
        <f>Rozpis_Výdaje!AS304</f>
        <v>4365000</v>
      </c>
      <c r="K12" s="122">
        <f>Rozpis_Výdaje!AU304</f>
        <v>150300</v>
      </c>
      <c r="L12" s="122">
        <f>Rozpis_Výdaje!AV304</f>
        <v>4515300</v>
      </c>
      <c r="N12" s="122">
        <f>Rozpis_Výdaje!AX304</f>
        <v>49297.26</v>
      </c>
      <c r="O12" s="122">
        <f>Rozpis_Výdaje!AY304</f>
        <v>4564597.26</v>
      </c>
    </row>
    <row r="13" spans="1:15">
      <c r="A13" s="266" t="s">
        <v>465</v>
      </c>
      <c r="B13" s="121">
        <v>5171</v>
      </c>
      <c r="C13" s="122">
        <f>Rozpis_Výdaje!L305</f>
        <v>446000</v>
      </c>
      <c r="D13" s="122">
        <f>Rozpis_Výdaje!AE305</f>
        <v>935250</v>
      </c>
      <c r="E13" s="122">
        <f>Rozpis_Výdaje!AH305</f>
        <v>897748.58000000007</v>
      </c>
      <c r="F13" s="122">
        <f>Rozpis_Výdaje!AK305</f>
        <v>400000</v>
      </c>
      <c r="H13" s="122">
        <f>Rozpis_Výdaje!AR305</f>
        <v>0</v>
      </c>
      <c r="I13" s="122">
        <f>Rozpis_Výdaje!AS305</f>
        <v>400000</v>
      </c>
      <c r="K13" s="122">
        <f>Rozpis_Výdaje!AU305</f>
        <v>0</v>
      </c>
      <c r="L13" s="122">
        <f>Rozpis_Výdaje!AV305</f>
        <v>400000</v>
      </c>
      <c r="N13" s="122">
        <f>Rozpis_Výdaje!AX305</f>
        <v>49297.26</v>
      </c>
      <c r="O13" s="122">
        <f>Rozpis_Výdaje!AY305</f>
        <v>449297.26</v>
      </c>
    </row>
    <row r="14" spans="1:15">
      <c r="A14" s="121" t="s">
        <v>280</v>
      </c>
      <c r="B14" s="121" t="s">
        <v>281</v>
      </c>
      <c r="C14" s="122">
        <f>Rozpis_Výdaje!L307</f>
        <v>1760000</v>
      </c>
      <c r="D14" s="122">
        <f>Rozpis_Výdaje!AE307</f>
        <v>1365610</v>
      </c>
      <c r="E14" s="122">
        <f>Rozpis_Výdaje!AH307</f>
        <v>1363785.12</v>
      </c>
      <c r="F14" s="122">
        <f>Rozpis_Výdaje!AK307</f>
        <v>564000</v>
      </c>
      <c r="G14" s="121" t="s">
        <v>464</v>
      </c>
      <c r="H14" s="122">
        <f>Rozpis_Výdaje!AR307</f>
        <v>0</v>
      </c>
      <c r="I14" s="122">
        <f>Rozpis_Výdaje!AS307</f>
        <v>564000</v>
      </c>
      <c r="K14" s="122">
        <f>Rozpis_Výdaje!AU307</f>
        <v>0</v>
      </c>
      <c r="L14" s="122">
        <f>Rozpis_Výdaje!AV307</f>
        <v>564000</v>
      </c>
      <c r="N14" s="122">
        <f>Rozpis_Výdaje!AX307</f>
        <v>0</v>
      </c>
      <c r="O14" s="122">
        <f>Rozpis_Výdaje!AY307</f>
        <v>564000</v>
      </c>
    </row>
    <row r="15" spans="1:15" s="133" customFormat="1" ht="16.5" thickBot="1">
      <c r="A15" s="131" t="s">
        <v>266</v>
      </c>
      <c r="B15" s="131"/>
      <c r="C15" s="132">
        <f>C12+C14</f>
        <v>6069999.9199999999</v>
      </c>
      <c r="D15" s="132">
        <f>D12+D14</f>
        <v>6319760</v>
      </c>
      <c r="E15" s="132">
        <f>E12+E14</f>
        <v>6028927.5000000009</v>
      </c>
      <c r="F15" s="132">
        <f>F12+F14</f>
        <v>4829000</v>
      </c>
      <c r="H15" s="132">
        <f t="shared" ref="H15:I15" si="0">H12+H14</f>
        <v>100000</v>
      </c>
      <c r="I15" s="132">
        <f t="shared" si="0"/>
        <v>4929000</v>
      </c>
      <c r="K15" s="132">
        <f t="shared" ref="K15:L15" si="1">K12+K14</f>
        <v>150300</v>
      </c>
      <c r="L15" s="132">
        <f t="shared" si="1"/>
        <v>5079300</v>
      </c>
      <c r="N15" s="132">
        <f t="shared" ref="N15:O15" si="2">N12+N14</f>
        <v>49297.26</v>
      </c>
      <c r="O15" s="132">
        <f t="shared" si="2"/>
        <v>5128597.26</v>
      </c>
    </row>
    <row r="17" spans="1:15" ht="15.75" thickBot="1">
      <c r="A17" s="123" t="s">
        <v>282</v>
      </c>
      <c r="B17" s="123"/>
      <c r="C17" s="124">
        <f>C9-C15</f>
        <v>-778999.91999999993</v>
      </c>
      <c r="D17" s="124">
        <f>D9-D15</f>
        <v>-84520</v>
      </c>
      <c r="E17" s="124">
        <f>E9-E15</f>
        <v>171589.59999999963</v>
      </c>
      <c r="F17" s="124">
        <f>F9-F15</f>
        <v>-437000</v>
      </c>
      <c r="H17" s="124">
        <f>H9-H15</f>
        <v>111541.07</v>
      </c>
      <c r="I17" s="124">
        <f t="shared" ref="I17" si="3">I9-I15</f>
        <v>-325458.9299999997</v>
      </c>
      <c r="K17" s="124">
        <f>K9-K15</f>
        <v>-150300</v>
      </c>
      <c r="L17" s="124">
        <f t="shared" ref="L17" si="4">L9-L15</f>
        <v>-475758.9299999997</v>
      </c>
      <c r="N17" s="124">
        <f>N9-N15</f>
        <v>0</v>
      </c>
      <c r="O17" s="124">
        <f t="shared" ref="O17" si="5">O9-O15</f>
        <v>-475758.9299999997</v>
      </c>
    </row>
    <row r="19" spans="1:15" ht="15.75">
      <c r="A19" s="127" t="s">
        <v>283</v>
      </c>
      <c r="B19" s="127" t="s">
        <v>5</v>
      </c>
      <c r="C19" s="127"/>
      <c r="D19" s="127"/>
      <c r="E19" s="127"/>
      <c r="F19" s="130"/>
      <c r="H19" s="261"/>
      <c r="I19" s="261"/>
      <c r="K19" s="261"/>
      <c r="L19" s="261"/>
      <c r="N19" s="261"/>
      <c r="O19" s="261"/>
    </row>
    <row r="20" spans="1:15">
      <c r="A20" s="121" t="s">
        <v>284</v>
      </c>
      <c r="B20" s="121">
        <v>8115</v>
      </c>
      <c r="C20" s="122">
        <v>779000</v>
      </c>
      <c r="D20" s="122">
        <v>84520</v>
      </c>
      <c r="E20" s="122">
        <v>0</v>
      </c>
      <c r="F20" s="122">
        <v>437000</v>
      </c>
      <c r="H20" s="122">
        <v>0</v>
      </c>
      <c r="I20" s="122">
        <f>F20+H21</f>
        <v>325459</v>
      </c>
      <c r="K20" s="122">
        <v>150300</v>
      </c>
      <c r="L20" s="122">
        <f>I20+K20</f>
        <v>475759</v>
      </c>
      <c r="N20" s="122">
        <v>0</v>
      </c>
      <c r="O20" s="122">
        <f>L20+N20</f>
        <v>475759</v>
      </c>
    </row>
    <row r="21" spans="1:15">
      <c r="A21" s="121" t="s">
        <v>367</v>
      </c>
      <c r="B21" s="121">
        <v>8115</v>
      </c>
      <c r="C21" s="122">
        <v>0</v>
      </c>
      <c r="D21" s="122">
        <v>0</v>
      </c>
      <c r="E21" s="122">
        <f>-E17</f>
        <v>-171589.59999999963</v>
      </c>
      <c r="F21" s="122">
        <v>0</v>
      </c>
      <c r="H21" s="122">
        <v>-111541</v>
      </c>
      <c r="I21" s="122">
        <v>0</v>
      </c>
      <c r="K21" s="122">
        <v>0</v>
      </c>
      <c r="L21" s="122">
        <v>0</v>
      </c>
      <c r="N21" s="122">
        <v>0</v>
      </c>
      <c r="O21" s="122">
        <v>0</v>
      </c>
    </row>
    <row r="22" spans="1:15">
      <c r="A22" s="121" t="s">
        <v>363</v>
      </c>
      <c r="B22" s="121">
        <v>8123</v>
      </c>
      <c r="C22" s="122">
        <v>0</v>
      </c>
      <c r="D22" s="122">
        <v>0</v>
      </c>
      <c r="E22" s="122">
        <v>0</v>
      </c>
      <c r="F22" s="122">
        <v>0</v>
      </c>
      <c r="H22" s="122">
        <v>0</v>
      </c>
      <c r="I22" s="122">
        <v>0</v>
      </c>
      <c r="K22" s="122">
        <v>0</v>
      </c>
      <c r="L22" s="122">
        <v>0</v>
      </c>
      <c r="N22" s="122">
        <v>0</v>
      </c>
      <c r="O22" s="122">
        <v>0</v>
      </c>
    </row>
    <row r="23" spans="1:15" s="133" customFormat="1" ht="17.25" customHeight="1" thickBot="1">
      <c r="A23" s="131" t="s">
        <v>364</v>
      </c>
      <c r="B23" s="131"/>
      <c r="C23" s="132">
        <f>SUM(C20:C22)</f>
        <v>779000</v>
      </c>
      <c r="D23" s="132">
        <f>SUM(D20:D22)</f>
        <v>84520</v>
      </c>
      <c r="E23" s="132">
        <f>SUM(E20:E22)</f>
        <v>-171589.59999999963</v>
      </c>
      <c r="F23" s="132">
        <f>SUM(F20:F22)</f>
        <v>437000</v>
      </c>
      <c r="H23" s="132">
        <f>SUM(H20:H22)</f>
        <v>-111541</v>
      </c>
      <c r="I23" s="132">
        <f>SUM(I20:I22)</f>
        <v>325459</v>
      </c>
      <c r="K23" s="132">
        <f>SUM(K20:K22)</f>
        <v>150300</v>
      </c>
      <c r="L23" s="132">
        <f>SUM(L20:L22)</f>
        <v>475759</v>
      </c>
      <c r="N23" s="132">
        <f>SUM(N20:N22)</f>
        <v>0</v>
      </c>
      <c r="O23" s="132">
        <f>SUM(O20:O22)</f>
        <v>475759</v>
      </c>
    </row>
    <row r="24" spans="1:15">
      <c r="H24" s="122"/>
      <c r="I24" s="122"/>
      <c r="K24" s="122"/>
      <c r="L24" s="122"/>
      <c r="N24" s="122"/>
      <c r="O24" s="122"/>
    </row>
    <row r="25" spans="1:15" ht="15.75" thickBot="1">
      <c r="A25" s="125" t="s">
        <v>365</v>
      </c>
      <c r="B25" s="125"/>
      <c r="C25" s="126">
        <f>C9-C15+C23</f>
        <v>8.0000000074505806E-2</v>
      </c>
      <c r="D25" s="126">
        <f>D9-D15+D23</f>
        <v>0</v>
      </c>
      <c r="E25" s="126">
        <f>E9-E15+E23</f>
        <v>0</v>
      </c>
      <c r="F25" s="126">
        <f>F9-F15+F23</f>
        <v>0</v>
      </c>
      <c r="H25" s="126">
        <f>H9-H15+H23</f>
        <v>7.0000000006984919E-2</v>
      </c>
      <c r="I25" s="126">
        <f>I9-I15+I23</f>
        <v>7.0000000298023224E-2</v>
      </c>
      <c r="K25" s="126">
        <f>K9-K15+K23</f>
        <v>0</v>
      </c>
      <c r="L25" s="126">
        <f>L9-L15+L23</f>
        <v>7.0000000298023224E-2</v>
      </c>
      <c r="N25" s="126">
        <f>N9-N15+N23</f>
        <v>0</v>
      </c>
      <c r="O25" s="126">
        <f>O9-O15+O23</f>
        <v>7.0000000298023224E-2</v>
      </c>
    </row>
    <row r="27" spans="1:15">
      <c r="A27" s="121" t="s">
        <v>481</v>
      </c>
    </row>
    <row r="28" spans="1:15">
      <c r="A28" s="121" t="s">
        <v>477</v>
      </c>
    </row>
    <row r="29" spans="1:15">
      <c r="A29" s="121" t="s">
        <v>484</v>
      </c>
      <c r="B29" s="150"/>
    </row>
    <row r="30" spans="1:15">
      <c r="A30" s="121" t="s">
        <v>488</v>
      </c>
      <c r="B30" s="150"/>
      <c r="J30" s="259"/>
    </row>
    <row r="31" spans="1:15">
      <c r="B31" s="150"/>
      <c r="J31" s="259" t="s">
        <v>468</v>
      </c>
    </row>
    <row r="32" spans="1:15">
      <c r="J32" s="259" t="s">
        <v>469</v>
      </c>
    </row>
    <row r="33" spans="1:1">
      <c r="A33" s="120" t="s">
        <v>487</v>
      </c>
    </row>
    <row r="34" spans="1:1">
      <c r="A34" s="120"/>
    </row>
    <row r="35" spans="1:1">
      <c r="A35" s="120" t="s">
        <v>387</v>
      </c>
    </row>
  </sheetData>
  <mergeCells count="4">
    <mergeCell ref="A2:F2"/>
    <mergeCell ref="H3:I3"/>
    <mergeCell ref="K3:L3"/>
    <mergeCell ref="N3:O3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33"/>
  <sheetViews>
    <sheetView workbookViewId="0"/>
  </sheetViews>
  <sheetFormatPr defaultColWidth="9.140625" defaultRowHeight="15"/>
  <cols>
    <col min="1" max="1" width="35.7109375" style="121" customWidth="1"/>
    <col min="2" max="2" width="10.85546875" style="121" customWidth="1"/>
    <col min="3" max="5" width="18.28515625" style="121" customWidth="1"/>
    <col min="6" max="6" width="18.28515625" style="122" customWidth="1"/>
    <col min="7" max="7" width="1.7109375" style="121" customWidth="1"/>
    <col min="8" max="8" width="11.42578125" style="121" bestFit="1" customWidth="1"/>
    <col min="9" max="9" width="14.42578125" style="121" bestFit="1" customWidth="1"/>
    <col min="10" max="10" width="1.5703125" style="121" customWidth="1"/>
    <col min="11" max="11" width="15.28515625" style="121" customWidth="1"/>
    <col min="12" max="12" width="12.140625" style="121" customWidth="1"/>
    <col min="13" max="16384" width="9.140625" style="121"/>
  </cols>
  <sheetData>
    <row r="2" spans="1:12" ht="23.25">
      <c r="A2" s="446" t="s">
        <v>471</v>
      </c>
      <c r="B2" s="446"/>
      <c r="C2" s="446"/>
      <c r="D2" s="446"/>
      <c r="E2" s="446"/>
      <c r="F2" s="446"/>
    </row>
    <row r="3" spans="1:12" ht="15.75">
      <c r="H3" s="133" t="s">
        <v>476</v>
      </c>
      <c r="I3" s="133"/>
      <c r="K3" s="133" t="s">
        <v>485</v>
      </c>
      <c r="L3" s="133"/>
    </row>
    <row r="4" spans="1:12" ht="45">
      <c r="A4" s="127" t="s">
        <v>267</v>
      </c>
      <c r="B4" s="127" t="s">
        <v>5</v>
      </c>
      <c r="C4" s="128" t="s">
        <v>455</v>
      </c>
      <c r="D4" s="128" t="s">
        <v>457</v>
      </c>
      <c r="E4" s="128" t="s">
        <v>456</v>
      </c>
      <c r="F4" s="128" t="s">
        <v>478</v>
      </c>
      <c r="H4" s="262" t="s">
        <v>479</v>
      </c>
      <c r="I4" s="262" t="s">
        <v>480</v>
      </c>
      <c r="K4" s="262" t="s">
        <v>479</v>
      </c>
      <c r="L4" s="262" t="s">
        <v>480</v>
      </c>
    </row>
    <row r="5" spans="1:12">
      <c r="A5" s="121" t="s">
        <v>269</v>
      </c>
      <c r="B5" s="121" t="s">
        <v>270</v>
      </c>
      <c r="C5" s="122">
        <f>Rozpis_Příjmy!L20</f>
        <v>4972000</v>
      </c>
      <c r="D5" s="122">
        <f>Rozpis_Příjmy!AH20</f>
        <v>4661600</v>
      </c>
      <c r="E5" s="122">
        <f>Rozpis_Příjmy!AL20</f>
        <v>4655908.6900000004</v>
      </c>
      <c r="F5" s="122">
        <f>Rozpis_Příjmy!AN20</f>
        <v>4104000</v>
      </c>
      <c r="H5" s="122">
        <f>Rozpis_Příjmy!AZ20</f>
        <v>0</v>
      </c>
      <c r="I5" s="122">
        <f>Rozpis_Příjmy!BA20</f>
        <v>4104000</v>
      </c>
      <c r="K5" s="122">
        <f>Rozpis_Příjmy!BC20</f>
        <v>0</v>
      </c>
      <c r="L5" s="122">
        <f>Rozpis_Příjmy!BD20</f>
        <v>4104000</v>
      </c>
    </row>
    <row r="6" spans="1:12">
      <c r="A6" s="121" t="s">
        <v>271</v>
      </c>
      <c r="B6" s="121" t="s">
        <v>272</v>
      </c>
      <c r="C6" s="122">
        <f>Rozpis_Příjmy!L88</f>
        <v>241200</v>
      </c>
      <c r="D6" s="122">
        <f>Rozpis_Příjmy!AH88</f>
        <v>240800</v>
      </c>
      <c r="E6" s="122">
        <f>Rozpis_Příjmy!AL88</f>
        <v>219140.41</v>
      </c>
      <c r="F6" s="122">
        <f>Rozpis_Příjmy!AN88</f>
        <v>203000</v>
      </c>
      <c r="H6" s="122">
        <f>Rozpis_Příjmy!AZ88</f>
        <v>0</v>
      </c>
      <c r="I6" s="122">
        <f>Rozpis_Příjmy!BA88</f>
        <v>203000</v>
      </c>
      <c r="K6" s="122">
        <f>Rozpis_Příjmy!BC88</f>
        <v>0</v>
      </c>
      <c r="L6" s="122">
        <f>Rozpis_Příjmy!BD88</f>
        <v>203000</v>
      </c>
    </row>
    <row r="7" spans="1:12">
      <c r="A7" s="121" t="s">
        <v>273</v>
      </c>
      <c r="B7" s="121" t="s">
        <v>274</v>
      </c>
      <c r="C7" s="122">
        <f>Rozpis_Příjmy!L66</f>
        <v>1000</v>
      </c>
      <c r="D7" s="122">
        <f>Rozpis_Příjmy!AH66</f>
        <v>28590</v>
      </c>
      <c r="E7" s="122">
        <f>Rozpis_Příjmy!AL66</f>
        <v>28557</v>
      </c>
      <c r="F7" s="122">
        <f>Rozpis_Příjmy!AN66</f>
        <v>1000</v>
      </c>
      <c r="H7" s="122">
        <f>Rozpis_Příjmy!AZ66</f>
        <v>0</v>
      </c>
      <c r="I7" s="122">
        <f>Rozpis_Příjmy!BA66</f>
        <v>1000</v>
      </c>
      <c r="K7" s="122">
        <f>Rozpis_Příjmy!BC66</f>
        <v>0</v>
      </c>
      <c r="L7" s="122">
        <f>Rozpis_Příjmy!BD66</f>
        <v>1000</v>
      </c>
    </row>
    <row r="8" spans="1:12">
      <c r="A8" s="121" t="s">
        <v>275</v>
      </c>
      <c r="B8" s="121" t="s">
        <v>276</v>
      </c>
      <c r="C8" s="122">
        <f>Rozpis_Příjmy!L30</f>
        <v>76800</v>
      </c>
      <c r="D8" s="122">
        <f>Rozpis_Příjmy!AH30</f>
        <v>1304250</v>
      </c>
      <c r="E8" s="122">
        <f>Rozpis_Příjmy!AL30</f>
        <v>1296911</v>
      </c>
      <c r="F8" s="122">
        <f>Rozpis_Příjmy!AN30</f>
        <v>84000</v>
      </c>
      <c r="H8" s="122">
        <f>Rozpis_Příjmy!AZ30</f>
        <v>211541.07</v>
      </c>
      <c r="I8" s="122">
        <f>Rozpis_Příjmy!BA30</f>
        <v>295541.07</v>
      </c>
      <c r="K8" s="122">
        <f>Rozpis_Příjmy!BC30</f>
        <v>0</v>
      </c>
      <c r="L8" s="122">
        <f>Rozpis_Příjmy!BD30</f>
        <v>295541.07</v>
      </c>
    </row>
    <row r="9" spans="1:12" s="133" customFormat="1" ht="16.5" thickBot="1">
      <c r="A9" s="131" t="s">
        <v>265</v>
      </c>
      <c r="B9" s="131"/>
      <c r="C9" s="132">
        <f>SUM(C5:C8)</f>
        <v>5291000</v>
      </c>
      <c r="D9" s="132">
        <f>SUM(D5:D8)</f>
        <v>6235240</v>
      </c>
      <c r="E9" s="132">
        <f>SUM(E5:E8)</f>
        <v>6200517.1000000006</v>
      </c>
      <c r="F9" s="132">
        <f>SUM(F5:F8)</f>
        <v>4392000</v>
      </c>
      <c r="H9" s="132">
        <f>SUM(H5:H8)</f>
        <v>211541.07</v>
      </c>
      <c r="I9" s="132">
        <f>SUM(I5:I8)</f>
        <v>4603541.07</v>
      </c>
      <c r="K9" s="132">
        <f>SUM(K5:K8)</f>
        <v>0</v>
      </c>
      <c r="L9" s="132">
        <f>SUM(L5:L8)</f>
        <v>4603541.07</v>
      </c>
    </row>
    <row r="11" spans="1:12" ht="15.75">
      <c r="A11" s="127" t="s">
        <v>277</v>
      </c>
      <c r="B11" s="127" t="s">
        <v>5</v>
      </c>
      <c r="C11" s="127"/>
      <c r="D11" s="127"/>
      <c r="E11" s="127"/>
      <c r="F11" s="130"/>
      <c r="H11" s="261"/>
      <c r="I11" s="261"/>
      <c r="K11" s="261"/>
      <c r="L11" s="261"/>
    </row>
    <row r="12" spans="1:12">
      <c r="A12" s="121" t="s">
        <v>278</v>
      </c>
      <c r="B12" s="121" t="s">
        <v>279</v>
      </c>
      <c r="C12" s="122">
        <f>Rozpis_Výdaje!L304</f>
        <v>4309999.92</v>
      </c>
      <c r="D12" s="122">
        <f>Rozpis_Výdaje!AE304</f>
        <v>4954150</v>
      </c>
      <c r="E12" s="122">
        <f>Rozpis_Výdaje!AH304</f>
        <v>4665142.3800000008</v>
      </c>
      <c r="F12" s="122">
        <f>Rozpis_Výdaje!AK304</f>
        <v>4265000</v>
      </c>
      <c r="H12" s="122">
        <f>Rozpis_Výdaje!AR304</f>
        <v>100000</v>
      </c>
      <c r="I12" s="122">
        <f>Rozpis_Výdaje!AS304</f>
        <v>4365000</v>
      </c>
      <c r="K12" s="122">
        <f>Rozpis_Výdaje!AU304</f>
        <v>150300</v>
      </c>
      <c r="L12" s="122">
        <f>Rozpis_Výdaje!AV304</f>
        <v>4515300</v>
      </c>
    </row>
    <row r="13" spans="1:12">
      <c r="A13" s="252" t="s">
        <v>465</v>
      </c>
      <c r="B13" s="121">
        <v>5171</v>
      </c>
      <c r="C13" s="122">
        <f>Rozpis_Výdaje!L305</f>
        <v>446000</v>
      </c>
      <c r="D13" s="122">
        <f>Rozpis_Výdaje!AE305</f>
        <v>935250</v>
      </c>
      <c r="E13" s="122">
        <f>Rozpis_Výdaje!AH305</f>
        <v>897748.58000000007</v>
      </c>
      <c r="F13" s="122">
        <f>Rozpis_Výdaje!AK305</f>
        <v>400000</v>
      </c>
      <c r="H13" s="122">
        <f>Rozpis_Výdaje!AR305</f>
        <v>0</v>
      </c>
      <c r="I13" s="122">
        <f>Rozpis_Výdaje!AS305</f>
        <v>400000</v>
      </c>
      <c r="K13" s="122">
        <f>Rozpis_Výdaje!AU305</f>
        <v>0</v>
      </c>
      <c r="L13" s="122">
        <f>Rozpis_Výdaje!AV305</f>
        <v>400000</v>
      </c>
    </row>
    <row r="14" spans="1:12">
      <c r="A14" s="121" t="s">
        <v>280</v>
      </c>
      <c r="B14" s="121" t="s">
        <v>281</v>
      </c>
      <c r="C14" s="122">
        <f>Rozpis_Výdaje!L307</f>
        <v>1760000</v>
      </c>
      <c r="D14" s="122">
        <f>Rozpis_Výdaje!AE307</f>
        <v>1365610</v>
      </c>
      <c r="E14" s="122">
        <f>Rozpis_Výdaje!AH307</f>
        <v>1363785.12</v>
      </c>
      <c r="F14" s="122">
        <f>Rozpis_Výdaje!AK307</f>
        <v>564000</v>
      </c>
      <c r="G14" s="121" t="s">
        <v>464</v>
      </c>
      <c r="H14" s="122">
        <f>Rozpis_Výdaje!AR307</f>
        <v>0</v>
      </c>
      <c r="I14" s="122">
        <f>Rozpis_Výdaje!AS307</f>
        <v>564000</v>
      </c>
      <c r="K14" s="122">
        <f>Rozpis_Výdaje!AU307</f>
        <v>0</v>
      </c>
      <c r="L14" s="122">
        <f>Rozpis_Výdaje!AV307</f>
        <v>564000</v>
      </c>
    </row>
    <row r="15" spans="1:12" s="133" customFormat="1" ht="16.5" thickBot="1">
      <c r="A15" s="131" t="s">
        <v>266</v>
      </c>
      <c r="B15" s="131"/>
      <c r="C15" s="132">
        <f>C12+C14</f>
        <v>6069999.9199999999</v>
      </c>
      <c r="D15" s="132">
        <f>D12+D14</f>
        <v>6319760</v>
      </c>
      <c r="E15" s="132">
        <f>E12+E14</f>
        <v>6028927.5000000009</v>
      </c>
      <c r="F15" s="132">
        <f>F12+F14</f>
        <v>4829000</v>
      </c>
      <c r="H15" s="132">
        <f t="shared" ref="H15:I15" si="0">H12+H14</f>
        <v>100000</v>
      </c>
      <c r="I15" s="132">
        <f t="shared" si="0"/>
        <v>4929000</v>
      </c>
      <c r="K15" s="132">
        <f t="shared" ref="K15:L15" si="1">K12+K14</f>
        <v>150300</v>
      </c>
      <c r="L15" s="132">
        <f t="shared" si="1"/>
        <v>5079300</v>
      </c>
    </row>
    <row r="17" spans="1:12" ht="15.75" thickBot="1">
      <c r="A17" s="123" t="s">
        <v>282</v>
      </c>
      <c r="B17" s="123"/>
      <c r="C17" s="124">
        <f>C9-C15</f>
        <v>-778999.91999999993</v>
      </c>
      <c r="D17" s="124">
        <f>D9-D15</f>
        <v>-84520</v>
      </c>
      <c r="E17" s="124">
        <f>E9-E15</f>
        <v>171589.59999999963</v>
      </c>
      <c r="F17" s="124">
        <f>F9-F15</f>
        <v>-437000</v>
      </c>
      <c r="H17" s="124">
        <f>H9-H15</f>
        <v>111541.07</v>
      </c>
      <c r="I17" s="124">
        <f t="shared" ref="I17" si="2">I9-I15</f>
        <v>-325458.9299999997</v>
      </c>
      <c r="K17" s="124">
        <f>K9-K15</f>
        <v>-150300</v>
      </c>
      <c r="L17" s="124">
        <f t="shared" ref="L17" si="3">L9-L15</f>
        <v>-475758.9299999997</v>
      </c>
    </row>
    <row r="19" spans="1:12" ht="15.75">
      <c r="A19" s="127" t="s">
        <v>283</v>
      </c>
      <c r="B19" s="127" t="s">
        <v>5</v>
      </c>
      <c r="C19" s="127"/>
      <c r="D19" s="127"/>
      <c r="E19" s="127"/>
      <c r="F19" s="130"/>
      <c r="H19" s="261"/>
      <c r="I19" s="261"/>
      <c r="K19" s="261"/>
      <c r="L19" s="261"/>
    </row>
    <row r="20" spans="1:12">
      <c r="A20" s="121" t="s">
        <v>284</v>
      </c>
      <c r="B20" s="121">
        <v>8115</v>
      </c>
      <c r="C20" s="122">
        <v>779000</v>
      </c>
      <c r="D20" s="122">
        <v>84520</v>
      </c>
      <c r="E20" s="122">
        <v>0</v>
      </c>
      <c r="F20" s="122">
        <v>437000</v>
      </c>
      <c r="H20" s="122">
        <v>0</v>
      </c>
      <c r="I20" s="122">
        <f>F20+H21</f>
        <v>325459</v>
      </c>
      <c r="K20" s="122">
        <v>150300</v>
      </c>
      <c r="L20" s="122">
        <f>I20+K20</f>
        <v>475759</v>
      </c>
    </row>
    <row r="21" spans="1:12">
      <c r="A21" s="121" t="s">
        <v>367</v>
      </c>
      <c r="B21" s="121">
        <v>8115</v>
      </c>
      <c r="C21" s="122">
        <v>0</v>
      </c>
      <c r="D21" s="122">
        <v>0</v>
      </c>
      <c r="E21" s="122">
        <f>-E17</f>
        <v>-171589.59999999963</v>
      </c>
      <c r="F21" s="122">
        <v>0</v>
      </c>
      <c r="H21" s="122">
        <v>-111541</v>
      </c>
      <c r="I21" s="122">
        <v>0</v>
      </c>
      <c r="K21" s="122">
        <v>0</v>
      </c>
      <c r="L21" s="122">
        <v>0</v>
      </c>
    </row>
    <row r="22" spans="1:12">
      <c r="A22" s="121" t="s">
        <v>363</v>
      </c>
      <c r="B22" s="121">
        <v>8123</v>
      </c>
      <c r="C22" s="122">
        <v>0</v>
      </c>
      <c r="D22" s="122">
        <v>0</v>
      </c>
      <c r="E22" s="122">
        <v>0</v>
      </c>
      <c r="F22" s="122">
        <v>0</v>
      </c>
      <c r="H22" s="122">
        <v>0</v>
      </c>
      <c r="I22" s="122">
        <v>0</v>
      </c>
      <c r="K22" s="122">
        <v>0</v>
      </c>
      <c r="L22" s="122">
        <v>0</v>
      </c>
    </row>
    <row r="23" spans="1:12" s="133" customFormat="1" ht="17.25" customHeight="1" thickBot="1">
      <c r="A23" s="131" t="s">
        <v>364</v>
      </c>
      <c r="B23" s="131"/>
      <c r="C23" s="132">
        <f>SUM(C20:C22)</f>
        <v>779000</v>
      </c>
      <c r="D23" s="132">
        <f>SUM(D20:D22)</f>
        <v>84520</v>
      </c>
      <c r="E23" s="132">
        <f>SUM(E20:E22)</f>
        <v>-171589.59999999963</v>
      </c>
      <c r="F23" s="132">
        <f>SUM(F20:F22)</f>
        <v>437000</v>
      </c>
      <c r="H23" s="132">
        <f>SUM(H20:H22)</f>
        <v>-111541</v>
      </c>
      <c r="I23" s="132">
        <f>SUM(I20:I22)</f>
        <v>325459</v>
      </c>
      <c r="K23" s="132">
        <f>SUM(K20:K22)</f>
        <v>150300</v>
      </c>
      <c r="L23" s="132">
        <f>SUM(L20:L22)</f>
        <v>475759</v>
      </c>
    </row>
    <row r="24" spans="1:12">
      <c r="H24" s="122"/>
      <c r="I24" s="122"/>
      <c r="K24" s="122"/>
      <c r="L24" s="122"/>
    </row>
    <row r="25" spans="1:12" ht="15.75" thickBot="1">
      <c r="A25" s="125" t="s">
        <v>365</v>
      </c>
      <c r="B25" s="125"/>
      <c r="C25" s="126">
        <f>C9-C15+C23</f>
        <v>8.0000000074505806E-2</v>
      </c>
      <c r="D25" s="126">
        <f>D9-D15+D23</f>
        <v>0</v>
      </c>
      <c r="E25" s="126">
        <f>E9-E15+E23</f>
        <v>0</v>
      </c>
      <c r="F25" s="126">
        <f>F9-F15+F23</f>
        <v>0</v>
      </c>
      <c r="H25" s="126">
        <f>H9-H15+H23</f>
        <v>7.0000000006984919E-2</v>
      </c>
      <c r="I25" s="126">
        <f>I9-I15+I23</f>
        <v>7.0000000298023224E-2</v>
      </c>
      <c r="K25" s="126">
        <f>K9-K15+K23</f>
        <v>0</v>
      </c>
      <c r="L25" s="126">
        <f>L9-L15+L23</f>
        <v>7.0000000298023224E-2</v>
      </c>
    </row>
    <row r="27" spans="1:12">
      <c r="A27" s="121" t="s">
        <v>481</v>
      </c>
    </row>
    <row r="28" spans="1:12">
      <c r="A28" s="121" t="s">
        <v>477</v>
      </c>
      <c r="J28" s="259" t="s">
        <v>468</v>
      </c>
    </row>
    <row r="29" spans="1:12">
      <c r="A29" s="121" t="s">
        <v>484</v>
      </c>
      <c r="B29" s="150"/>
      <c r="J29" s="259" t="s">
        <v>469</v>
      </c>
    </row>
    <row r="31" spans="1:12">
      <c r="A31" s="120" t="s">
        <v>486</v>
      </c>
    </row>
    <row r="32" spans="1:12">
      <c r="A32" s="120"/>
    </row>
    <row r="33" spans="1:1">
      <c r="A33" s="120" t="s">
        <v>387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G15" sqref="G15"/>
    </sheetView>
  </sheetViews>
  <sheetFormatPr defaultRowHeight="15"/>
  <cols>
    <col min="2" max="2" width="23.42578125" bestFit="1" customWidth="1"/>
    <col min="3" max="3" width="16.140625" customWidth="1"/>
    <col min="4" max="4" width="14.85546875" customWidth="1"/>
    <col min="5" max="5" width="16.42578125" customWidth="1"/>
    <col min="6" max="6" width="18.42578125" customWidth="1"/>
  </cols>
  <sheetData>
    <row r="1" spans="1:7" ht="23.25">
      <c r="A1" s="446" t="s">
        <v>472</v>
      </c>
      <c r="B1" s="446"/>
      <c r="C1" s="446"/>
      <c r="D1" s="446"/>
      <c r="E1" s="446"/>
      <c r="F1" s="446"/>
    </row>
    <row r="2" spans="1:7" ht="23.25">
      <c r="A2" s="446" t="s">
        <v>515</v>
      </c>
      <c r="B2" s="446"/>
      <c r="C2" s="446"/>
      <c r="D2" s="446"/>
      <c r="E2" s="446"/>
      <c r="F2" s="446"/>
    </row>
    <row r="3" spans="1:7" ht="15.75" thickBot="1"/>
    <row r="4" spans="1:7" ht="15.75">
      <c r="A4" s="100"/>
      <c r="B4" s="101"/>
      <c r="C4" s="448" t="s">
        <v>521</v>
      </c>
      <c r="D4" s="449"/>
      <c r="E4" s="448" t="s">
        <v>389</v>
      </c>
      <c r="F4" s="449"/>
      <c r="G4" s="246"/>
    </row>
    <row r="5" spans="1:7" ht="30.75" thickBot="1">
      <c r="A5" s="102"/>
      <c r="B5" s="103" t="s">
        <v>264</v>
      </c>
      <c r="C5" s="295" t="str">
        <f>ROZPOČETnávrh!E4</f>
        <v>skutečnost 2022</v>
      </c>
      <c r="D5" s="296">
        <v>2022</v>
      </c>
      <c r="E5" s="297">
        <v>2023</v>
      </c>
      <c r="F5" s="296">
        <v>2024</v>
      </c>
    </row>
    <row r="6" spans="1:7">
      <c r="A6" s="105" t="s">
        <v>369</v>
      </c>
      <c r="B6" s="106" t="s">
        <v>370</v>
      </c>
      <c r="C6" s="300">
        <f>VÝHLEDnávrh!E6</f>
        <v>6300000</v>
      </c>
      <c r="D6" s="301">
        <f>VÝHLEDnávrh!F6</f>
        <v>6600000</v>
      </c>
      <c r="E6" s="301" t="e">
        <f>VÝHLEDnávrh!#REF!</f>
        <v>#REF!</v>
      </c>
      <c r="F6" s="302" t="e">
        <f>VÝHLEDnávrh!#REF!</f>
        <v>#REF!</v>
      </c>
    </row>
    <row r="7" spans="1:7">
      <c r="A7" s="109" t="s">
        <v>371</v>
      </c>
      <c r="B7" s="110" t="s">
        <v>372</v>
      </c>
      <c r="C7" s="303">
        <f>VÝHLEDnávrh!E7</f>
        <v>500000</v>
      </c>
      <c r="D7" s="298">
        <f>VÝHLEDnávrh!F7</f>
        <v>500000</v>
      </c>
      <c r="E7" s="298" t="e">
        <f>VÝHLEDnávrh!#REF!</f>
        <v>#REF!</v>
      </c>
      <c r="F7" s="304" t="e">
        <f>VÝHLEDnávrh!#REF!</f>
        <v>#REF!</v>
      </c>
    </row>
    <row r="8" spans="1:7">
      <c r="A8" s="109" t="s">
        <v>373</v>
      </c>
      <c r="B8" s="110" t="s">
        <v>374</v>
      </c>
      <c r="C8" s="303">
        <f>VÝHLEDnávrh!E8</f>
        <v>50000</v>
      </c>
      <c r="D8" s="298">
        <f>VÝHLEDnávrh!F8</f>
        <v>50000</v>
      </c>
      <c r="E8" s="298" t="e">
        <f>VÝHLEDnávrh!#REF!</f>
        <v>#REF!</v>
      </c>
      <c r="F8" s="304" t="e">
        <f>VÝHLEDnávrh!#REF!</f>
        <v>#REF!</v>
      </c>
    </row>
    <row r="9" spans="1:7" ht="15.75" thickBot="1">
      <c r="A9" s="112" t="s">
        <v>375</v>
      </c>
      <c r="B9" s="113" t="s">
        <v>376</v>
      </c>
      <c r="C9" s="307">
        <f>VÝHLEDnávrh!E9</f>
        <v>88000</v>
      </c>
      <c r="D9" s="308">
        <f>VÝHLEDnávrh!F9</f>
        <v>90000</v>
      </c>
      <c r="E9" s="308" t="e">
        <f>VÝHLEDnávrh!#REF!</f>
        <v>#REF!</v>
      </c>
      <c r="F9" s="309" t="e">
        <f>VÝHLEDnávrh!#REF!</f>
        <v>#REF!</v>
      </c>
    </row>
    <row r="10" spans="1:7" ht="16.5" thickBot="1">
      <c r="A10" s="317"/>
      <c r="B10" s="313" t="s">
        <v>377</v>
      </c>
      <c r="C10" s="314">
        <f>SUM(C6:C9)</f>
        <v>6938000</v>
      </c>
      <c r="D10" s="315">
        <f>SUM(D6:D9)</f>
        <v>7240000</v>
      </c>
      <c r="E10" s="315" t="e">
        <f>SUM(E6:E9)</f>
        <v>#REF!</v>
      </c>
      <c r="F10" s="316" t="e">
        <f>SUM(F6:F9)</f>
        <v>#REF!</v>
      </c>
    </row>
    <row r="11" spans="1:7">
      <c r="A11" s="105" t="s">
        <v>378</v>
      </c>
      <c r="B11" s="106" t="s">
        <v>379</v>
      </c>
      <c r="C11" s="305">
        <f>VÝHLEDnávrh!E11</f>
        <v>6193000</v>
      </c>
      <c r="D11" s="299">
        <f>VÝHLEDnávrh!F11</f>
        <v>6025000</v>
      </c>
      <c r="E11" s="299" t="e">
        <f>VÝHLEDnávrh!#REF!</f>
        <v>#REF!</v>
      </c>
      <c r="F11" s="306" t="e">
        <f>VÝHLEDnávrh!#REF!</f>
        <v>#REF!</v>
      </c>
    </row>
    <row r="12" spans="1:7" ht="15.75" thickBot="1">
      <c r="A12" s="112" t="s">
        <v>380</v>
      </c>
      <c r="B12" s="113" t="s">
        <v>381</v>
      </c>
      <c r="C12" s="307">
        <f>VÝHLEDnávrh!E12</f>
        <v>500000</v>
      </c>
      <c r="D12" s="308">
        <f>VÝHLEDnávrh!F12</f>
        <v>970000</v>
      </c>
      <c r="E12" s="308" t="e">
        <f>VÝHLEDnávrh!#REF!</f>
        <v>#REF!</v>
      </c>
      <c r="F12" s="309" t="e">
        <f>VÝHLEDnávrh!#REF!</f>
        <v>#REF!</v>
      </c>
    </row>
    <row r="13" spans="1:7" ht="16.5" thickBot="1">
      <c r="A13" s="317"/>
      <c r="B13" s="313" t="s">
        <v>382</v>
      </c>
      <c r="C13" s="314">
        <f>SUM(C11:C12)</f>
        <v>6693000</v>
      </c>
      <c r="D13" s="315">
        <f>SUM(D11:D12)</f>
        <v>6995000</v>
      </c>
      <c r="E13" s="315" t="e">
        <f>SUM(E11:E12)</f>
        <v>#REF!</v>
      </c>
      <c r="F13" s="316" t="e">
        <f>SUM(F11:F12)</f>
        <v>#REF!</v>
      </c>
    </row>
    <row r="14" spans="1:7">
      <c r="A14" s="105" t="s">
        <v>383</v>
      </c>
      <c r="B14" s="106" t="s">
        <v>384</v>
      </c>
      <c r="C14" s="294">
        <f>VÝHLEDnávrh!E14</f>
        <v>0</v>
      </c>
      <c r="D14" s="318">
        <f>VÝHLEDnávrh!F14</f>
        <v>0</v>
      </c>
      <c r="E14" s="318" t="e">
        <f>VÝHLEDnávrh!#REF!</f>
        <v>#REF!</v>
      </c>
      <c r="F14" s="319" t="e">
        <f>VÝHLEDnávrh!#REF!</f>
        <v>#REF!</v>
      </c>
    </row>
    <row r="15" spans="1:7" ht="15.75" thickBot="1">
      <c r="A15" s="112" t="s">
        <v>383</v>
      </c>
      <c r="B15" s="113" t="s">
        <v>391</v>
      </c>
      <c r="C15" s="310">
        <f>VÝHLEDnávrh!E15</f>
        <v>-245000</v>
      </c>
      <c r="D15" s="311">
        <f>VÝHLEDnávrh!F15</f>
        <v>-245000</v>
      </c>
      <c r="E15" s="311" t="e">
        <f>VÝHLEDnávrh!#REF!</f>
        <v>#REF!</v>
      </c>
      <c r="F15" s="312" t="e">
        <f>VÝHLEDnávrh!#REF!</f>
        <v>#REF!</v>
      </c>
    </row>
    <row r="16" spans="1:7" ht="16.5" thickBot="1">
      <c r="A16" s="317"/>
      <c r="B16" s="313" t="s">
        <v>385</v>
      </c>
      <c r="C16" s="314">
        <f>SUM(C14:C15)</f>
        <v>-245000</v>
      </c>
      <c r="D16" s="316">
        <f>SUM(D14:D15)</f>
        <v>-245000</v>
      </c>
      <c r="E16" s="314" t="e">
        <f>SUM(E15:E15)</f>
        <v>#REF!</v>
      </c>
      <c r="F16" s="316" t="e">
        <f>SUM(F15:F15)</f>
        <v>#REF!</v>
      </c>
    </row>
    <row r="17" spans="1:6" ht="16.5" thickBot="1">
      <c r="A17" s="320"/>
      <c r="B17" s="321" t="s">
        <v>386</v>
      </c>
      <c r="C17" s="322">
        <f>VÝHLEDnávrh!E17</f>
        <v>0</v>
      </c>
      <c r="D17" s="322">
        <f>VÝHLEDnávrh!F17</f>
        <v>0</v>
      </c>
      <c r="E17" s="322" t="e">
        <f>VÝHLEDnávrh!#REF!</f>
        <v>#REF!</v>
      </c>
      <c r="F17" s="323" t="e">
        <f>VÝHLEDnávrh!#REF!</f>
        <v>#REF!</v>
      </c>
    </row>
    <row r="19" spans="1:6" ht="15.75">
      <c r="A19" s="121" t="s">
        <v>522</v>
      </c>
    </row>
    <row r="20" spans="1:6" ht="15.75">
      <c r="A20" s="121"/>
    </row>
    <row r="21" spans="1:6" ht="15.75">
      <c r="A21" s="121"/>
    </row>
    <row r="22" spans="1:6" ht="15.75">
      <c r="A22" s="120" t="s">
        <v>520</v>
      </c>
      <c r="C22" s="149"/>
      <c r="E22" s="259" t="s">
        <v>468</v>
      </c>
    </row>
    <row r="23" spans="1:6" ht="15.75">
      <c r="A23" s="120"/>
      <c r="E23" s="259" t="s">
        <v>469</v>
      </c>
    </row>
    <row r="24" spans="1:6">
      <c r="A24" s="120" t="s">
        <v>387</v>
      </c>
      <c r="F24" t="s">
        <v>470</v>
      </c>
    </row>
  </sheetData>
  <mergeCells count="4">
    <mergeCell ref="A1:F1"/>
    <mergeCell ref="A2:F2"/>
    <mergeCell ref="C4:D4"/>
    <mergeCell ref="E4:F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1"/>
  <sheetViews>
    <sheetView workbookViewId="0">
      <selection activeCell="G15" sqref="G15"/>
    </sheetView>
  </sheetViews>
  <sheetFormatPr defaultColWidth="9.140625" defaultRowHeight="15"/>
  <cols>
    <col min="1" max="1" width="35.7109375" style="121" customWidth="1"/>
    <col min="2" max="2" width="10.85546875" style="121" customWidth="1"/>
    <col min="3" max="5" width="18.28515625" style="121" customWidth="1"/>
    <col min="6" max="6" width="18.28515625" style="122" customWidth="1"/>
    <col min="7" max="7" width="13.140625" style="242" customWidth="1"/>
    <col min="8" max="8" width="10.7109375" style="238" customWidth="1"/>
    <col min="9" max="16384" width="9.140625" style="121"/>
  </cols>
  <sheetData>
    <row r="2" spans="1:9" ht="23.25">
      <c r="A2" s="446" t="s">
        <v>517</v>
      </c>
      <c r="B2" s="446"/>
      <c r="C2" s="446"/>
      <c r="D2" s="446"/>
      <c r="E2" s="446"/>
      <c r="F2" s="446"/>
      <c r="G2" s="237"/>
    </row>
    <row r="4" spans="1:9" ht="31.5">
      <c r="A4" s="127" t="s">
        <v>267</v>
      </c>
      <c r="B4" s="127" t="s">
        <v>5</v>
      </c>
      <c r="C4" s="128" t="s">
        <v>478</v>
      </c>
      <c r="D4" s="128" t="s">
        <v>510</v>
      </c>
      <c r="E4" s="128" t="s">
        <v>511</v>
      </c>
      <c r="F4" s="129" t="s">
        <v>518</v>
      </c>
      <c r="G4" s="250" t="s">
        <v>512</v>
      </c>
      <c r="H4" s="251" t="s">
        <v>513</v>
      </c>
    </row>
    <row r="5" spans="1:9">
      <c r="A5" s="121" t="s">
        <v>269</v>
      </c>
      <c r="B5" s="121" t="s">
        <v>270</v>
      </c>
      <c r="C5" s="122">
        <f>ROZPOČETnávrh!C5</f>
        <v>5423700</v>
      </c>
      <c r="D5" s="122">
        <f>ROZPOČETnávrh!D5</f>
        <v>5759500</v>
      </c>
      <c r="E5" s="122">
        <f>ROZPOČETnávrh!E5</f>
        <v>5723404.6900000004</v>
      </c>
      <c r="F5" s="122">
        <f>ROZPOČETnávrh!F5</f>
        <v>6126400</v>
      </c>
      <c r="G5" s="239">
        <f>F5/C5-1</f>
        <v>0.12956100079281674</v>
      </c>
      <c r="H5" s="239">
        <f>F5/E5-1</f>
        <v>7.0411814615191748E-2</v>
      </c>
    </row>
    <row r="6" spans="1:9">
      <c r="A6" s="121" t="s">
        <v>271</v>
      </c>
      <c r="B6" s="121" t="s">
        <v>272</v>
      </c>
      <c r="C6" s="122">
        <f>ROZPOČETnávrh!C6</f>
        <v>514500</v>
      </c>
      <c r="D6" s="122">
        <f>ROZPOČETnávrh!D6</f>
        <v>593640</v>
      </c>
      <c r="E6" s="122">
        <f>ROZPOČETnávrh!E6</f>
        <v>435708.33</v>
      </c>
      <c r="F6" s="122">
        <f>ROZPOČETnávrh!F6</f>
        <v>514800</v>
      </c>
      <c r="G6" s="239">
        <f t="shared" ref="G6:G9" si="0">F6/C6-1</f>
        <v>5.8309037900872163E-4</v>
      </c>
      <c r="H6" s="239">
        <f t="shared" ref="H6:H15" si="1">F6/E6-1</f>
        <v>0.18152434680328455</v>
      </c>
    </row>
    <row r="7" spans="1:9">
      <c r="A7" s="121" t="s">
        <v>273</v>
      </c>
      <c r="B7" s="121" t="s">
        <v>274</v>
      </c>
      <c r="C7" s="122">
        <f>ROZPOČETnávrh!C7</f>
        <v>40000</v>
      </c>
      <c r="D7" s="122">
        <f>ROZPOČETnávrh!D7</f>
        <v>70000</v>
      </c>
      <c r="E7" s="122">
        <f>ROZPOČETnávrh!E7</f>
        <v>59144</v>
      </c>
      <c r="F7" s="122">
        <f>ROZPOČETnávrh!F7</f>
        <v>30000</v>
      </c>
      <c r="G7" s="239">
        <f>F7/C7-1</f>
        <v>-0.25</v>
      </c>
      <c r="H7" s="239">
        <f t="shared" si="1"/>
        <v>-0.49276342486135538</v>
      </c>
    </row>
    <row r="8" spans="1:9">
      <c r="A8" s="121" t="s">
        <v>275</v>
      </c>
      <c r="B8" s="121" t="s">
        <v>276</v>
      </c>
      <c r="C8" s="122">
        <f>ROZPOČETnávrh!C8</f>
        <v>1228300</v>
      </c>
      <c r="D8" s="122">
        <f>ROZPOČETnávrh!D8</f>
        <v>1377347.88</v>
      </c>
      <c r="E8" s="122">
        <f>ROZPOČETnávrh!E8</f>
        <v>1377347.92</v>
      </c>
      <c r="F8" s="122">
        <f>ROZPOČETnávrh!F8</f>
        <v>365188.89</v>
      </c>
      <c r="G8" s="239">
        <f t="shared" si="0"/>
        <v>-0.7026875437596678</v>
      </c>
      <c r="H8" s="239">
        <f t="shared" si="1"/>
        <v>-0.73486082586889157</v>
      </c>
    </row>
    <row r="9" spans="1:9" s="133" customFormat="1" ht="16.5" thickBot="1">
      <c r="A9" s="131" t="s">
        <v>265</v>
      </c>
      <c r="B9" s="131"/>
      <c r="C9" s="132">
        <f>SUM(C5:C8)</f>
        <v>7206500</v>
      </c>
      <c r="D9" s="132">
        <f>SUM(D5:D8)</f>
        <v>7800487.8799999999</v>
      </c>
      <c r="E9" s="132">
        <f>SUM(E5:E8)</f>
        <v>7595604.9400000004</v>
      </c>
      <c r="F9" s="132">
        <f>SUM(F5:F8)</f>
        <v>7036388.8899999997</v>
      </c>
      <c r="G9" s="240">
        <f t="shared" si="0"/>
        <v>-2.3605232775966156E-2</v>
      </c>
      <c r="H9" s="241">
        <f t="shared" si="1"/>
        <v>-7.362363556522733E-2</v>
      </c>
    </row>
    <row r="10" spans="1:9">
      <c r="H10" s="239"/>
    </row>
    <row r="11" spans="1:9" ht="15.75">
      <c r="A11" s="127" t="s">
        <v>277</v>
      </c>
      <c r="B11" s="127" t="s">
        <v>5</v>
      </c>
      <c r="C11" s="127"/>
      <c r="D11" s="127"/>
      <c r="E11" s="127"/>
      <c r="F11" s="130" t="s">
        <v>268</v>
      </c>
      <c r="G11" s="248"/>
      <c r="H11" s="249"/>
    </row>
    <row r="12" spans="1:9">
      <c r="A12" s="121" t="s">
        <v>278</v>
      </c>
      <c r="B12" s="121" t="s">
        <v>279</v>
      </c>
      <c r="C12" s="122">
        <f>ROZPOČETnávrh!C12</f>
        <v>7195600</v>
      </c>
      <c r="D12" s="122">
        <f>ROZPOČETnávrh!D12</f>
        <v>7479854.8899999997</v>
      </c>
      <c r="E12" s="122">
        <f>ROZPOČETnávrh!E12</f>
        <v>7594747.4400000004</v>
      </c>
      <c r="F12" s="122">
        <f>ROZPOČETnávrh!F12</f>
        <v>6251689.0999999996</v>
      </c>
      <c r="G12" s="239">
        <f t="shared" ref="G12:G15" si="2">F12/C12-1</f>
        <v>-0.13117890099505258</v>
      </c>
      <c r="H12" s="239">
        <f t="shared" si="1"/>
        <v>-0.17684042170071168</v>
      </c>
    </row>
    <row r="13" spans="1:9">
      <c r="A13" s="252" t="s">
        <v>465</v>
      </c>
      <c r="B13" s="121">
        <v>5171</v>
      </c>
      <c r="C13" s="122" t="e">
        <f>ROZPOČETnávrh!#REF!</f>
        <v>#REF!</v>
      </c>
      <c r="D13" s="122" t="e">
        <f>ROZPOČETnávrh!#REF!</f>
        <v>#REF!</v>
      </c>
      <c r="E13" s="122" t="e">
        <f>ROZPOČETnávrh!#REF!</f>
        <v>#REF!</v>
      </c>
      <c r="F13" s="122" t="e">
        <f>ROZPOČETnávrh!#REF!</f>
        <v>#REF!</v>
      </c>
      <c r="G13" s="239" t="e">
        <f t="shared" si="2"/>
        <v>#REF!</v>
      </c>
      <c r="H13" s="239" t="e">
        <f t="shared" si="1"/>
        <v>#REF!</v>
      </c>
    </row>
    <row r="14" spans="1:9">
      <c r="A14" s="121" t="s">
        <v>280</v>
      </c>
      <c r="B14" s="121" t="s">
        <v>281</v>
      </c>
      <c r="C14" s="122">
        <f>ROZPOČETnávrh!C13</f>
        <v>2057900</v>
      </c>
      <c r="D14" s="122">
        <f>ROZPOČETnávrh!D13</f>
        <v>2482600</v>
      </c>
      <c r="E14" s="122">
        <f>ROZPOČETnávrh!E13</f>
        <v>2481231</v>
      </c>
      <c r="F14" s="122">
        <f>ROZPOČETnávrh!F13</f>
        <v>539700</v>
      </c>
      <c r="G14" s="239">
        <f t="shared" si="2"/>
        <v>-0.73774235871519511</v>
      </c>
      <c r="H14" s="239">
        <f t="shared" si="1"/>
        <v>-0.78248699939667044</v>
      </c>
      <c r="I14" s="121" t="s">
        <v>464</v>
      </c>
    </row>
    <row r="15" spans="1:9" s="133" customFormat="1" ht="16.5" thickBot="1">
      <c r="A15" s="131" t="s">
        <v>266</v>
      </c>
      <c r="B15" s="131"/>
      <c r="C15" s="132">
        <f>C12+C14</f>
        <v>9253500</v>
      </c>
      <c r="D15" s="132">
        <f>D12+D14</f>
        <v>9962454.8900000006</v>
      </c>
      <c r="E15" s="132">
        <f>E12+E14</f>
        <v>10075978.440000001</v>
      </c>
      <c r="F15" s="132">
        <f>F12+F14</f>
        <v>6791389.0999999996</v>
      </c>
      <c r="G15" s="240">
        <f t="shared" si="2"/>
        <v>-0.26607347490138866</v>
      </c>
      <c r="H15" s="241">
        <f t="shared" si="1"/>
        <v>-0.32598217230802262</v>
      </c>
    </row>
    <row r="17" spans="1:8" ht="15.75" thickBot="1">
      <c r="A17" s="123" t="s">
        <v>282</v>
      </c>
      <c r="B17" s="123"/>
      <c r="C17" s="124">
        <f>C9-C15</f>
        <v>-2047000</v>
      </c>
      <c r="D17" s="124">
        <f>D9-D15</f>
        <v>-2161967.0100000007</v>
      </c>
      <c r="E17" s="124">
        <f>E9-E15</f>
        <v>-2480373.5000000009</v>
      </c>
      <c r="F17" s="124">
        <f>F9-F15</f>
        <v>244999.79000000004</v>
      </c>
      <c r="G17" s="244"/>
    </row>
    <row r="19" spans="1:8" ht="15.75">
      <c r="A19" s="127" t="s">
        <v>283</v>
      </c>
      <c r="B19" s="127" t="s">
        <v>5</v>
      </c>
      <c r="C19" s="127"/>
      <c r="D19" s="127"/>
      <c r="E19" s="127"/>
      <c r="F19" s="130" t="s">
        <v>268</v>
      </c>
      <c r="G19" s="243"/>
    </row>
    <row r="20" spans="1:8">
      <c r="A20" s="121" t="s">
        <v>284</v>
      </c>
      <c r="B20" s="121">
        <v>8115</v>
      </c>
      <c r="C20" s="122">
        <f>ROZPOČETnávrh!C19</f>
        <v>457000</v>
      </c>
      <c r="D20" s="122">
        <f>ROZPOČETnávrh!D19</f>
        <v>690667</v>
      </c>
      <c r="E20" s="122">
        <f>ROZPOČETnávrh!E19</f>
        <v>976079</v>
      </c>
      <c r="F20" s="122">
        <f>ROZPOČETnávrh!F19</f>
        <v>0</v>
      </c>
    </row>
    <row r="21" spans="1:8">
      <c r="A21" s="121" t="s">
        <v>367</v>
      </c>
      <c r="B21" s="121">
        <v>8115</v>
      </c>
      <c r="C21" s="122">
        <f>ROZPOČETnávrh!C20</f>
        <v>0</v>
      </c>
      <c r="D21" s="122">
        <f>ROZPOČETnávrh!D20</f>
        <v>0</v>
      </c>
      <c r="E21" s="122">
        <f>ROZPOČETnávrh!E20</f>
        <v>0</v>
      </c>
      <c r="F21" s="122">
        <f>ROZPOČETnávrh!F20</f>
        <v>0</v>
      </c>
    </row>
    <row r="22" spans="1:8">
      <c r="A22" s="121" t="s">
        <v>363</v>
      </c>
      <c r="B22" s="121">
        <v>8123</v>
      </c>
      <c r="C22" s="122">
        <f>ROZPOČETnávrh!C21</f>
        <v>1590000</v>
      </c>
      <c r="D22" s="122">
        <f>ROZPOČETnávrh!D21</f>
        <v>1625000</v>
      </c>
      <c r="E22" s="122">
        <f>ROZPOČETnávrh!E21</f>
        <v>1624667</v>
      </c>
      <c r="F22" s="122">
        <f>ROZPOČETnávrh!F21</f>
        <v>0</v>
      </c>
    </row>
    <row r="23" spans="1:8" s="133" customFormat="1" ht="17.25" customHeight="1" thickBot="1">
      <c r="A23" s="131" t="s">
        <v>364</v>
      </c>
      <c r="B23" s="131"/>
      <c r="C23" s="132">
        <f>SUM(C20:C22)</f>
        <v>2047000</v>
      </c>
      <c r="D23" s="132">
        <f>SUM(D20:D22)</f>
        <v>2315667</v>
      </c>
      <c r="E23" s="132">
        <f>SUM(E20:E22)</f>
        <v>2600746</v>
      </c>
      <c r="F23" s="132">
        <f>SUM(F20:F22)</f>
        <v>0</v>
      </c>
      <c r="G23" s="245"/>
      <c r="H23" s="246"/>
    </row>
    <row r="25" spans="1:8" ht="15.75" thickBot="1">
      <c r="A25" s="125" t="s">
        <v>365</v>
      </c>
      <c r="B25" s="125"/>
      <c r="C25" s="126">
        <f>C9-C15+C23</f>
        <v>0</v>
      </c>
      <c r="D25" s="126">
        <f>D9-D15+D23</f>
        <v>153699.98999999929</v>
      </c>
      <c r="E25" s="126">
        <f>E9-E15+E23</f>
        <v>120372.49999999907</v>
      </c>
      <c r="F25" s="126">
        <f>F9-F15+F23</f>
        <v>244999.79000000004</v>
      </c>
      <c r="G25" s="247"/>
    </row>
    <row r="27" spans="1:8">
      <c r="A27" s="121" t="s">
        <v>519</v>
      </c>
    </row>
    <row r="29" spans="1:8">
      <c r="A29" s="120" t="s">
        <v>516</v>
      </c>
      <c r="B29" s="150"/>
      <c r="E29" s="259" t="s">
        <v>468</v>
      </c>
    </row>
    <row r="30" spans="1:8">
      <c r="A30" s="120"/>
      <c r="E30" s="259" t="s">
        <v>469</v>
      </c>
    </row>
    <row r="31" spans="1:8">
      <c r="A31" s="120" t="s">
        <v>387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C5" sqref="C5"/>
    </sheetView>
  </sheetViews>
  <sheetFormatPr defaultRowHeight="15"/>
  <cols>
    <col min="2" max="2" width="23.42578125" bestFit="1" customWidth="1"/>
    <col min="3" max="3" width="16.42578125" customWidth="1"/>
    <col min="4" max="4" width="18.28515625" customWidth="1"/>
    <col min="5" max="5" width="16.28515625" customWidth="1"/>
    <col min="6" max="6" width="17.85546875" customWidth="1"/>
  </cols>
  <sheetData>
    <row r="1" spans="1:7" ht="23.25">
      <c r="A1" s="409" t="s">
        <v>388</v>
      </c>
      <c r="B1" s="410"/>
      <c r="C1" s="410"/>
      <c r="D1" s="410"/>
      <c r="E1" s="409"/>
      <c r="F1" s="409"/>
      <c r="G1" s="408"/>
    </row>
    <row r="2" spans="1:7" ht="23.25">
      <c r="A2" s="446" t="s">
        <v>574</v>
      </c>
      <c r="B2" s="446"/>
      <c r="C2" s="446"/>
      <c r="D2" s="446"/>
      <c r="E2" s="446"/>
      <c r="F2" s="446"/>
    </row>
    <row r="3" spans="1:7" ht="15.75" thickBot="1"/>
    <row r="4" spans="1:7" ht="15.75">
      <c r="A4" s="452"/>
      <c r="B4" s="450" t="s">
        <v>264</v>
      </c>
      <c r="C4" s="444" t="s">
        <v>600</v>
      </c>
      <c r="D4" s="444" t="s">
        <v>601</v>
      </c>
      <c r="E4" s="448" t="s">
        <v>389</v>
      </c>
      <c r="F4" s="449"/>
    </row>
    <row r="5" spans="1:7" ht="16.5" thickBot="1">
      <c r="A5" s="453"/>
      <c r="B5" s="451"/>
      <c r="C5" s="445">
        <v>2022</v>
      </c>
      <c r="D5" s="445">
        <v>2023</v>
      </c>
      <c r="E5" s="255">
        <v>2024</v>
      </c>
      <c r="F5" s="104">
        <v>2025</v>
      </c>
    </row>
    <row r="6" spans="1:7">
      <c r="A6" s="105" t="s">
        <v>369</v>
      </c>
      <c r="B6" s="436" t="s">
        <v>370</v>
      </c>
      <c r="C6" s="432">
        <f>ROZPOČETnávrh!E5</f>
        <v>5723404.6900000004</v>
      </c>
      <c r="D6" s="432">
        <f>ROZPOČETnávrh!F5</f>
        <v>6126400</v>
      </c>
      <c r="E6" s="107">
        <v>6300000</v>
      </c>
      <c r="F6" s="108">
        <v>6600000</v>
      </c>
    </row>
    <row r="7" spans="1:7">
      <c r="A7" s="109" t="s">
        <v>371</v>
      </c>
      <c r="B7" s="437" t="s">
        <v>372</v>
      </c>
      <c r="C7" s="432">
        <f>ROZPOČETnávrh!E6</f>
        <v>435708.33</v>
      </c>
      <c r="D7" s="432">
        <f>ROZPOČETnávrh!F6</f>
        <v>514800</v>
      </c>
      <c r="E7" s="111">
        <v>500000</v>
      </c>
      <c r="F7" s="256">
        <v>500000</v>
      </c>
    </row>
    <row r="8" spans="1:7">
      <c r="A8" s="109" t="s">
        <v>373</v>
      </c>
      <c r="B8" s="437" t="s">
        <v>374</v>
      </c>
      <c r="C8" s="432">
        <f>ROZPOČETnávrh!E7</f>
        <v>59144</v>
      </c>
      <c r="D8" s="432">
        <f>ROZPOČETnávrh!F7</f>
        <v>30000</v>
      </c>
      <c r="E8" s="111">
        <v>50000</v>
      </c>
      <c r="F8" s="256">
        <v>50000</v>
      </c>
    </row>
    <row r="9" spans="1:7" ht="15.75" thickBot="1">
      <c r="A9" s="112" t="s">
        <v>375</v>
      </c>
      <c r="B9" s="438" t="s">
        <v>376</v>
      </c>
      <c r="C9" s="432">
        <f>ROZPOČETnávrh!E8</f>
        <v>1377347.92</v>
      </c>
      <c r="D9" s="432">
        <f>ROZPOČETnávrh!F8</f>
        <v>365188.89</v>
      </c>
      <c r="E9" s="114">
        <v>88000</v>
      </c>
      <c r="F9" s="115">
        <v>90000</v>
      </c>
    </row>
    <row r="10" spans="1:7" ht="17.25" thickTop="1" thickBot="1">
      <c r="A10" s="116"/>
      <c r="B10" s="439" t="s">
        <v>377</v>
      </c>
      <c r="C10" s="433">
        <f>SUM(C6:C9)</f>
        <v>7595604.9400000004</v>
      </c>
      <c r="D10" s="118">
        <f>SUM(D6:D9)</f>
        <v>7036388.8899999997</v>
      </c>
      <c r="E10" s="117">
        <f>SUM(E6:E9)</f>
        <v>6938000</v>
      </c>
      <c r="F10" s="118">
        <f>SUM(F6:F9)</f>
        <v>7240000</v>
      </c>
    </row>
    <row r="11" spans="1:7" ht="15.75" thickTop="1">
      <c r="A11" s="105" t="s">
        <v>378</v>
      </c>
      <c r="B11" s="436" t="s">
        <v>379</v>
      </c>
      <c r="C11" s="432">
        <f>ROZPOČETnávrh!E12</f>
        <v>7594747.4400000004</v>
      </c>
      <c r="D11" s="432">
        <f>ROZPOČETnávrh!F12</f>
        <v>6251689.0999999996</v>
      </c>
      <c r="E11" s="107">
        <f>5758000+435000</f>
        <v>6193000</v>
      </c>
      <c r="F11" s="108">
        <f>267000+5758000</f>
        <v>6025000</v>
      </c>
    </row>
    <row r="12" spans="1:7" ht="15.75" thickBot="1">
      <c r="A12" s="112" t="s">
        <v>380</v>
      </c>
      <c r="B12" s="438" t="s">
        <v>381</v>
      </c>
      <c r="C12" s="432">
        <f>ROZPOČETnávrh!E13</f>
        <v>2481231</v>
      </c>
      <c r="D12" s="432">
        <f>ROZPOČETnávrh!F13</f>
        <v>539700</v>
      </c>
      <c r="E12" s="114">
        <v>500000</v>
      </c>
      <c r="F12" s="115">
        <v>970000</v>
      </c>
    </row>
    <row r="13" spans="1:7" ht="17.25" thickTop="1" thickBot="1">
      <c r="A13" s="116"/>
      <c r="B13" s="439" t="s">
        <v>382</v>
      </c>
      <c r="C13" s="433">
        <f>SUM(C11:C12)</f>
        <v>10075978.440000001</v>
      </c>
      <c r="D13" s="118">
        <f>SUM(D11:D12)</f>
        <v>6791389.0999999996</v>
      </c>
      <c r="E13" s="117">
        <f>SUM(E11:E12)</f>
        <v>6693000</v>
      </c>
      <c r="F13" s="118">
        <f>SUM(F11:F12)</f>
        <v>6995000</v>
      </c>
    </row>
    <row r="14" spans="1:7" ht="15.75" thickTop="1">
      <c r="A14" s="105" t="s">
        <v>383</v>
      </c>
      <c r="B14" s="436" t="s">
        <v>384</v>
      </c>
      <c r="C14" s="432">
        <f>ROZPOČETnávrh!E19+ROZPOČETnávrh!E21</f>
        <v>2600746</v>
      </c>
      <c r="D14" s="431"/>
      <c r="E14" s="254">
        <v>0</v>
      </c>
      <c r="F14" s="257">
        <v>0</v>
      </c>
    </row>
    <row r="15" spans="1:7" ht="15.75" thickBot="1">
      <c r="A15" s="112" t="s">
        <v>383</v>
      </c>
      <c r="B15" s="438" t="s">
        <v>391</v>
      </c>
      <c r="C15" s="441">
        <f>ROZPOČETnávrh!E22</f>
        <v>-120372</v>
      </c>
      <c r="D15" s="441">
        <f>ROZPOČETnávrh!F22</f>
        <v>-245000</v>
      </c>
      <c r="E15" s="107">
        <v>-245000</v>
      </c>
      <c r="F15" s="108">
        <v>-245000</v>
      </c>
      <c r="G15" t="s">
        <v>575</v>
      </c>
    </row>
    <row r="16" spans="1:7" ht="17.25" thickTop="1" thickBot="1">
      <c r="A16" s="116"/>
      <c r="B16" s="439" t="s">
        <v>385</v>
      </c>
      <c r="C16" s="434">
        <f>SUM(C15:C15)</f>
        <v>-120372</v>
      </c>
      <c r="D16" s="118">
        <f>SUM(D15:D15)</f>
        <v>-245000</v>
      </c>
      <c r="E16" s="118">
        <f>SUM(E15:E15)</f>
        <v>-245000</v>
      </c>
      <c r="F16" s="118">
        <f>SUM(F15:F15)</f>
        <v>-245000</v>
      </c>
    </row>
    <row r="17" spans="1:6" ht="17.25" thickTop="1" thickBot="1">
      <c r="A17" s="119"/>
      <c r="B17" s="440" t="s">
        <v>386</v>
      </c>
      <c r="C17" s="435">
        <f>C10+C16-C13+C14</f>
        <v>0.49999999906867743</v>
      </c>
      <c r="D17" s="435">
        <f t="shared" ref="D17:F17" si="0">D10+D16-D13+D14</f>
        <v>-0.2099999999627471</v>
      </c>
      <c r="E17" s="435">
        <f>E10+E16-E13+E14</f>
        <v>0</v>
      </c>
      <c r="F17" s="435">
        <f t="shared" si="0"/>
        <v>0</v>
      </c>
    </row>
    <row r="19" spans="1:6">
      <c r="A19" s="120"/>
    </row>
    <row r="20" spans="1:6">
      <c r="A20" s="120"/>
    </row>
    <row r="21" spans="1:6">
      <c r="A21" s="120"/>
    </row>
    <row r="22" spans="1:6" ht="15.75">
      <c r="A22" s="120" t="s">
        <v>603</v>
      </c>
      <c r="E22" s="149"/>
      <c r="F22" s="259" t="s">
        <v>468</v>
      </c>
    </row>
    <row r="23" spans="1:6" ht="15.75">
      <c r="A23" s="120"/>
      <c r="F23" s="259" t="s">
        <v>469</v>
      </c>
    </row>
    <row r="24" spans="1:6">
      <c r="A24" s="120" t="s">
        <v>387</v>
      </c>
    </row>
  </sheetData>
  <mergeCells count="4">
    <mergeCell ref="E4:F4"/>
    <mergeCell ref="A2:F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6" sqref="I26"/>
    </sheetView>
  </sheetViews>
  <sheetFormatPr defaultColWidth="9.140625" defaultRowHeight="15"/>
  <cols>
    <col min="1" max="1" width="35.7109375" style="121" customWidth="1"/>
    <col min="2" max="2" width="10.85546875" style="121" customWidth="1"/>
    <col min="3" max="5" width="18.28515625" style="121" customWidth="1"/>
    <col min="6" max="6" width="18.28515625" style="122" customWidth="1"/>
    <col min="7" max="7" width="13.140625" style="242" customWidth="1"/>
    <col min="8" max="8" width="10.7109375" style="238" customWidth="1"/>
    <col min="9" max="16384" width="9.140625" style="121"/>
  </cols>
  <sheetData>
    <row r="2" spans="1:9" ht="23.25">
      <c r="A2" s="446" t="s">
        <v>573</v>
      </c>
      <c r="B2" s="446"/>
      <c r="C2" s="446"/>
      <c r="D2" s="446"/>
      <c r="E2" s="446"/>
      <c r="F2" s="446"/>
      <c r="G2" s="237"/>
    </row>
    <row r="4" spans="1:9" ht="31.5">
      <c r="A4" s="127" t="s">
        <v>267</v>
      </c>
      <c r="B4" s="127" t="s">
        <v>5</v>
      </c>
      <c r="C4" s="128" t="s">
        <v>578</v>
      </c>
      <c r="D4" s="128" t="s">
        <v>579</v>
      </c>
      <c r="E4" s="128" t="s">
        <v>580</v>
      </c>
      <c r="F4" s="129" t="s">
        <v>576</v>
      </c>
      <c r="G4" s="250" t="s">
        <v>577</v>
      </c>
      <c r="H4" s="251" t="s">
        <v>581</v>
      </c>
    </row>
    <row r="5" spans="1:9">
      <c r="A5" s="121" t="s">
        <v>269</v>
      </c>
      <c r="B5" s="121" t="s">
        <v>270</v>
      </c>
      <c r="C5" s="122">
        <f>Rozpis_Příjmy!BO20</f>
        <v>5423700</v>
      </c>
      <c r="D5" s="122">
        <f>Rozpis_Příjmy!CN20</f>
        <v>5759500</v>
      </c>
      <c r="E5" s="122">
        <f>Rozpis_Příjmy!CP20</f>
        <v>5723404.6900000004</v>
      </c>
      <c r="F5" s="122">
        <f>Rozpis_Příjmy!CR20</f>
        <v>6126400</v>
      </c>
      <c r="G5" s="239">
        <f>F5/C5-1</f>
        <v>0.12956100079281674</v>
      </c>
      <c r="H5" s="239">
        <f>F5/E5-1</f>
        <v>7.0411814615191748E-2</v>
      </c>
    </row>
    <row r="6" spans="1:9">
      <c r="A6" s="121" t="s">
        <v>271</v>
      </c>
      <c r="B6" s="121" t="s">
        <v>272</v>
      </c>
      <c r="C6" s="122">
        <f>Rozpis_Příjmy!BO88</f>
        <v>514500</v>
      </c>
      <c r="D6" s="122">
        <f>Rozpis_Příjmy!CN88</f>
        <v>593640</v>
      </c>
      <c r="E6" s="122">
        <f>Rozpis_Příjmy!CP88</f>
        <v>435708.33</v>
      </c>
      <c r="F6" s="122">
        <f>Rozpis_Příjmy!CR88</f>
        <v>514800</v>
      </c>
      <c r="G6" s="239">
        <f t="shared" ref="G6:G9" si="0">F6/C6-1</f>
        <v>5.8309037900872163E-4</v>
      </c>
      <c r="H6" s="239">
        <f t="shared" ref="H6:H14" si="1">F6/E6-1</f>
        <v>0.18152434680328455</v>
      </c>
    </row>
    <row r="7" spans="1:9">
      <c r="A7" s="121" t="s">
        <v>273</v>
      </c>
      <c r="B7" s="121" t="s">
        <v>274</v>
      </c>
      <c r="C7" s="122">
        <f>Rozpis_Příjmy!BO66</f>
        <v>40000</v>
      </c>
      <c r="D7" s="122">
        <f>Rozpis_Příjmy!CN66</f>
        <v>70000</v>
      </c>
      <c r="E7" s="122">
        <f>Rozpis_Příjmy!CP66</f>
        <v>59144</v>
      </c>
      <c r="F7" s="122">
        <f>Rozpis_Příjmy!CR66</f>
        <v>30000</v>
      </c>
      <c r="G7" s="239">
        <f t="shared" si="0"/>
        <v>-0.25</v>
      </c>
      <c r="H7" s="239">
        <f t="shared" si="1"/>
        <v>-0.49276342486135538</v>
      </c>
    </row>
    <row r="8" spans="1:9">
      <c r="A8" s="121" t="s">
        <v>275</v>
      </c>
      <c r="B8" s="121" t="s">
        <v>276</v>
      </c>
      <c r="C8" s="122">
        <f>Rozpis_Příjmy!BO30</f>
        <v>1228300</v>
      </c>
      <c r="D8" s="122">
        <f>Rozpis_Příjmy!CN30</f>
        <v>1377347.88</v>
      </c>
      <c r="E8" s="122">
        <f>Rozpis_Příjmy!CP30</f>
        <v>1377347.92</v>
      </c>
      <c r="F8" s="122">
        <f>Rozpis_Příjmy!CR30</f>
        <v>365188.89</v>
      </c>
      <c r="G8" s="239">
        <f t="shared" si="0"/>
        <v>-0.7026875437596678</v>
      </c>
      <c r="H8" s="239">
        <f t="shared" si="1"/>
        <v>-0.73486082586889157</v>
      </c>
    </row>
    <row r="9" spans="1:9" s="133" customFormat="1" ht="16.5" thickBot="1">
      <c r="A9" s="131" t="s">
        <v>265</v>
      </c>
      <c r="B9" s="131"/>
      <c r="C9" s="132">
        <f>SUM(C5:C8)</f>
        <v>7206500</v>
      </c>
      <c r="D9" s="132">
        <f>SUM(D5:D8)</f>
        <v>7800487.8799999999</v>
      </c>
      <c r="E9" s="132">
        <f>SUM(E5:E8)</f>
        <v>7595604.9400000004</v>
      </c>
      <c r="F9" s="132">
        <f>SUM(F5:F8)</f>
        <v>7036388.8899999997</v>
      </c>
      <c r="G9" s="240">
        <f t="shared" si="0"/>
        <v>-2.3605232775966156E-2</v>
      </c>
      <c r="H9" s="241">
        <f t="shared" si="1"/>
        <v>-7.362363556522733E-2</v>
      </c>
    </row>
    <row r="10" spans="1:9">
      <c r="H10" s="239"/>
    </row>
    <row r="11" spans="1:9" ht="15.75">
      <c r="A11" s="127" t="s">
        <v>277</v>
      </c>
      <c r="B11" s="127" t="s">
        <v>5</v>
      </c>
      <c r="C11" s="127"/>
      <c r="D11" s="127"/>
      <c r="E11" s="127"/>
      <c r="F11" s="130" t="s">
        <v>268</v>
      </c>
      <c r="G11" s="248"/>
      <c r="H11" s="249"/>
    </row>
    <row r="12" spans="1:9">
      <c r="A12" s="121" t="s">
        <v>278</v>
      </c>
      <c r="B12" s="121" t="s">
        <v>279</v>
      </c>
      <c r="C12" s="122">
        <f>Rozpis_Výdaje!BM304</f>
        <v>7195600</v>
      </c>
      <c r="D12" s="122">
        <f>Rozpis_Výdaje!CY304</f>
        <v>7479854.8899999997</v>
      </c>
      <c r="E12" s="293">
        <f>Rozpis_Výdaje!DA304</f>
        <v>7594747.4400000004</v>
      </c>
      <c r="F12" s="122">
        <f>Rozpis_Výdaje!DC304</f>
        <v>6251689.0999999996</v>
      </c>
      <c r="G12" s="239">
        <f t="shared" ref="G12:G14" si="2">F12/C12-1</f>
        <v>-0.13117890099505258</v>
      </c>
      <c r="H12" s="239">
        <f t="shared" si="1"/>
        <v>-0.17684042170071168</v>
      </c>
    </row>
    <row r="13" spans="1:9">
      <c r="A13" s="121" t="s">
        <v>280</v>
      </c>
      <c r="B13" s="121" t="s">
        <v>281</v>
      </c>
      <c r="C13" s="122">
        <f>Rozpis_Výdaje!BM307</f>
        <v>2057900</v>
      </c>
      <c r="D13" s="122">
        <f>Rozpis_Výdaje!CY307</f>
        <v>2482600</v>
      </c>
      <c r="E13" s="293">
        <f>Rozpis_Výdaje!DA307</f>
        <v>2481231</v>
      </c>
      <c r="F13" s="122">
        <f>Rozpis_Výdaje!DC307</f>
        <v>539700</v>
      </c>
      <c r="G13" s="239">
        <f t="shared" si="2"/>
        <v>-0.73774235871519511</v>
      </c>
      <c r="H13" s="239">
        <f t="shared" si="1"/>
        <v>-0.78248699939667044</v>
      </c>
      <c r="I13" s="121" t="s">
        <v>464</v>
      </c>
    </row>
    <row r="14" spans="1:9" s="133" customFormat="1" ht="16.5" thickBot="1">
      <c r="A14" s="131" t="s">
        <v>266</v>
      </c>
      <c r="B14" s="131"/>
      <c r="C14" s="132">
        <f>C12+C13</f>
        <v>9253500</v>
      </c>
      <c r="D14" s="132">
        <f>D12+D13</f>
        <v>9962454.8900000006</v>
      </c>
      <c r="E14" s="132">
        <f>E12+E13</f>
        <v>10075978.440000001</v>
      </c>
      <c r="F14" s="132">
        <f>F12+F13</f>
        <v>6791389.0999999996</v>
      </c>
      <c r="G14" s="240">
        <f t="shared" si="2"/>
        <v>-0.26607347490138866</v>
      </c>
      <c r="H14" s="241">
        <f t="shared" si="1"/>
        <v>-0.32598217230802262</v>
      </c>
    </row>
    <row r="16" spans="1:9" ht="15.75" thickBot="1">
      <c r="A16" s="123" t="s">
        <v>282</v>
      </c>
      <c r="B16" s="123"/>
      <c r="C16" s="124">
        <f>C9-C14</f>
        <v>-2047000</v>
      </c>
      <c r="D16" s="124">
        <f>D9-D14</f>
        <v>-2161967.0100000007</v>
      </c>
      <c r="E16" s="124">
        <f>E9-E14</f>
        <v>-2480373.5000000009</v>
      </c>
      <c r="F16" s="124">
        <f>F9-F14</f>
        <v>244999.79000000004</v>
      </c>
      <c r="G16" s="243"/>
    </row>
    <row r="17" spans="1:8">
      <c r="G17" s="243"/>
    </row>
    <row r="18" spans="1:8" ht="15.75">
      <c r="A18" s="127" t="s">
        <v>283</v>
      </c>
      <c r="B18" s="127" t="s">
        <v>5</v>
      </c>
      <c r="C18" s="127"/>
      <c r="D18" s="127"/>
      <c r="E18" s="127"/>
      <c r="F18" s="130" t="s">
        <v>268</v>
      </c>
      <c r="G18" s="243"/>
    </row>
    <row r="19" spans="1:8">
      <c r="A19" s="121" t="s">
        <v>284</v>
      </c>
      <c r="B19" s="121">
        <v>8115</v>
      </c>
      <c r="C19" s="122">
        <v>457000</v>
      </c>
      <c r="D19" s="122">
        <v>690667</v>
      </c>
      <c r="E19" s="122">
        <v>976079</v>
      </c>
      <c r="G19" s="243"/>
    </row>
    <row r="20" spans="1:8">
      <c r="A20" s="121" t="s">
        <v>367</v>
      </c>
      <c r="B20" s="121">
        <v>8115</v>
      </c>
      <c r="C20" s="122">
        <v>0</v>
      </c>
      <c r="D20" s="122">
        <v>0</v>
      </c>
      <c r="E20" s="122">
        <v>0</v>
      </c>
      <c r="G20" s="243"/>
    </row>
    <row r="21" spans="1:8">
      <c r="A21" s="121" t="s">
        <v>363</v>
      </c>
      <c r="B21" s="121">
        <v>8123</v>
      </c>
      <c r="C21" s="122">
        <v>1590000</v>
      </c>
      <c r="D21" s="122">
        <v>1625000</v>
      </c>
      <c r="E21" s="122">
        <v>1624667</v>
      </c>
      <c r="G21" s="243"/>
    </row>
    <row r="22" spans="1:8">
      <c r="A22" s="121" t="s">
        <v>585</v>
      </c>
      <c r="B22" s="121">
        <v>8124</v>
      </c>
      <c r="C22" s="122"/>
      <c r="D22" s="122">
        <v>-153700</v>
      </c>
      <c r="E22" s="122">
        <v>-120372</v>
      </c>
      <c r="F22" s="122">
        <v>-245000</v>
      </c>
      <c r="G22" s="243"/>
    </row>
    <row r="23" spans="1:8" s="133" customFormat="1" ht="17.25" customHeight="1" thickBot="1">
      <c r="A23" s="131" t="s">
        <v>364</v>
      </c>
      <c r="B23" s="131"/>
      <c r="C23" s="132">
        <f>SUM(C19:C22)</f>
        <v>2047000</v>
      </c>
      <c r="D23" s="132">
        <f t="shared" ref="D23:E23" si="3">SUM(D19:D22)</f>
        <v>2161967</v>
      </c>
      <c r="E23" s="132">
        <f t="shared" si="3"/>
        <v>2480374</v>
      </c>
      <c r="F23" s="132">
        <f>F19+F21+F22+F20</f>
        <v>-245000</v>
      </c>
      <c r="G23" s="243"/>
      <c r="H23" s="246"/>
    </row>
    <row r="25" spans="1:8" ht="15.75" thickBot="1">
      <c r="A25" s="125" t="s">
        <v>365</v>
      </c>
      <c r="B25" s="125"/>
      <c r="C25" s="126">
        <f>C9-C14+C23</f>
        <v>0</v>
      </c>
      <c r="D25" s="126">
        <f>D9-D14+D23</f>
        <v>-1.0000000707805157E-2</v>
      </c>
      <c r="E25" s="126">
        <f>E9-E14+E23</f>
        <v>0.49999999906867743</v>
      </c>
      <c r="F25" s="126">
        <f>F9-F14+F23</f>
        <v>-0.2099999999627471</v>
      </c>
      <c r="G25" s="247"/>
    </row>
    <row r="26" spans="1:8">
      <c r="D26" s="121" t="s">
        <v>464</v>
      </c>
    </row>
    <row r="27" spans="1:8">
      <c r="A27" s="120" t="s">
        <v>602</v>
      </c>
      <c r="B27" s="150"/>
      <c r="E27" s="259" t="s">
        <v>468</v>
      </c>
    </row>
    <row r="28" spans="1:8">
      <c r="A28" s="120"/>
      <c r="E28" s="259" t="s">
        <v>469</v>
      </c>
    </row>
    <row r="29" spans="1:8">
      <c r="A29" s="120" t="s">
        <v>387</v>
      </c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W93"/>
  <sheetViews>
    <sheetView zoomScaleNormal="100" workbookViewId="0">
      <pane xSplit="3" ySplit="4" topLeftCell="CN5" activePane="bottomRight" state="frozen"/>
      <selection activeCell="BZ40" sqref="BZ40"/>
      <selection pane="topRight" activeCell="BZ40" sqref="BZ40"/>
      <selection pane="bottomLeft" activeCell="BZ40" sqref="BZ40"/>
      <selection pane="bottomRight" activeCell="CN14" sqref="CN14"/>
    </sheetView>
  </sheetViews>
  <sheetFormatPr defaultRowHeight="15" outlineLevelRow="1" outlineLevelCol="1"/>
  <cols>
    <col min="1" max="1" width="8.28515625" customWidth="1"/>
    <col min="2" max="2" width="7.85546875" customWidth="1"/>
    <col min="3" max="3" width="49" customWidth="1"/>
    <col min="4" max="4" width="11.42578125" customWidth="1" outlineLevel="1"/>
    <col min="5" max="5" width="8.28515625" style="34" customWidth="1" outlineLevel="1"/>
    <col min="6" max="6" width="11.5703125" customWidth="1" outlineLevel="1"/>
    <col min="7" max="7" width="8.28515625" style="34" customWidth="1" outlineLevel="1"/>
    <col min="8" max="9" width="12.42578125" customWidth="1" outlineLevel="1"/>
    <col min="10" max="10" width="2.85546875" customWidth="1" outlineLevel="1"/>
    <col min="11" max="11" width="11.85546875" style="18" customWidth="1" outlineLevel="1"/>
    <col min="12" max="12" width="12.140625" style="134" customWidth="1"/>
    <col min="13" max="15" width="9.140625" hidden="1" customWidth="1" outlineLevel="1"/>
    <col min="16" max="17" width="12.28515625" hidden="1" customWidth="1" outlineLevel="1"/>
    <col min="18" max="18" width="11.7109375" hidden="1" customWidth="1" outlineLevel="1"/>
    <col min="19" max="19" width="9.140625" hidden="1" customWidth="1" outlineLevel="1"/>
    <col min="20" max="20" width="9.140625" collapsed="1"/>
    <col min="21" max="21" width="15.85546875" style="134" hidden="1" customWidth="1" outlineLevel="1"/>
    <col min="22" max="22" width="9.140625" hidden="1" customWidth="1" outlineLevel="1"/>
    <col min="23" max="23" width="4" hidden="1" customWidth="1" outlineLevel="1"/>
    <col min="24" max="24" width="11.140625" style="141" hidden="1" customWidth="1" outlineLevel="1"/>
    <col min="25" max="25" width="3.28515625" hidden="1" customWidth="1" outlineLevel="1"/>
    <col min="26" max="26" width="11.7109375" style="134" hidden="1" customWidth="1" outlineLevel="1"/>
    <col min="27" max="27" width="2.85546875" hidden="1" customWidth="1" outlineLevel="1"/>
    <col min="28" max="28" width="8.140625" style="206" hidden="1" customWidth="1" outlineLevel="1"/>
    <col min="29" max="29" width="4.7109375" style="206" hidden="1" customWidth="1" outlineLevel="1"/>
    <col min="30" max="30" width="11.7109375" style="134" hidden="1" customWidth="1" outlineLevel="1"/>
    <col min="31" max="31" width="2.5703125" style="206" hidden="1" customWidth="1" outlineLevel="1"/>
    <col min="32" max="32" width="8.140625" style="206" hidden="1" customWidth="1" outlineLevel="1"/>
    <col min="33" max="33" width="5.7109375" style="206" hidden="1" customWidth="1" outlineLevel="1"/>
    <col min="34" max="34" width="11.140625" style="134" customWidth="1" collapsed="1"/>
    <col min="35" max="35" width="2.5703125" style="206" customWidth="1"/>
    <col min="36" max="36" width="7" style="206" customWidth="1"/>
    <col min="37" max="37" width="2.42578125" customWidth="1"/>
    <col min="38" max="38" width="13.42578125" style="18" customWidth="1"/>
    <col min="39" max="39" width="1.5703125" customWidth="1"/>
    <col min="40" max="40" width="13.42578125" style="18" customWidth="1"/>
    <col min="44" max="44" width="9.140625" hidden="1" customWidth="1" outlineLevel="1"/>
    <col min="45" max="45" width="9.5703125" hidden="1" customWidth="1" outlineLevel="1"/>
    <col min="46" max="50" width="9.140625" hidden="1" customWidth="1" outlineLevel="1"/>
    <col min="51" max="51" width="9.140625" collapsed="1"/>
    <col min="52" max="53" width="9.140625" hidden="1" customWidth="1" outlineLevel="1"/>
    <col min="54" max="54" width="6" hidden="1" customWidth="1" outlineLevel="1"/>
    <col min="55" max="60" width="9.140625" hidden="1" customWidth="1" outlineLevel="1"/>
    <col min="61" max="61" width="9.85546875" style="18" bestFit="1" customWidth="1" collapsed="1"/>
    <col min="62" max="62" width="15.7109375" customWidth="1"/>
    <col min="63" max="63" width="2.5703125" customWidth="1"/>
    <col min="64" max="64" width="11" style="18" bestFit="1" customWidth="1"/>
    <col min="65" max="65" width="8.28515625" style="278" customWidth="1"/>
    <col min="66" max="66" width="2.5703125" customWidth="1"/>
    <col min="67" max="67" width="9.85546875" style="18" bestFit="1" customWidth="1"/>
    <col min="68" max="68" width="8.85546875" style="34" customWidth="1"/>
    <col min="69" max="69" width="3.42578125" customWidth="1"/>
    <col min="70" max="70" width="0" style="18" hidden="1" customWidth="1" outlineLevel="1"/>
    <col min="71" max="71" width="16.140625" hidden="1" customWidth="1" outlineLevel="1"/>
    <col min="72" max="72" width="5.140625" hidden="1" customWidth="1" outlineLevel="1"/>
    <col min="73" max="73" width="0" style="18" hidden="1" customWidth="1" outlineLevel="1"/>
    <col min="74" max="74" width="14.42578125" hidden="1" customWidth="1" outlineLevel="1"/>
    <col min="75" max="75" width="4.5703125" hidden="1" customWidth="1" outlineLevel="1"/>
    <col min="76" max="76" width="0" style="18" hidden="1" customWidth="1" outlineLevel="1"/>
    <col min="77" max="77" width="14.42578125" hidden="1" customWidth="1" outlineLevel="1"/>
    <col min="78" max="78" width="0" style="385" hidden="1" customWidth="1" outlineLevel="1"/>
    <col min="79" max="79" width="0" style="207" hidden="1" customWidth="1" outlineLevel="1"/>
    <col min="80" max="80" width="14.42578125" hidden="1" customWidth="1" outlineLevel="1"/>
    <col min="81" max="81" width="6.28515625" hidden="1" customWidth="1" outlineLevel="1"/>
    <col min="82" max="82" width="0" style="18" hidden="1" customWidth="1" outlineLevel="1"/>
    <col min="83" max="83" width="14.42578125" hidden="1" customWidth="1" outlineLevel="1"/>
    <col min="84" max="84" width="4" customWidth="1" collapsed="1"/>
    <col min="85" max="85" width="9.140625" style="18" hidden="1" customWidth="1" outlineLevel="1"/>
    <col min="86" max="86" width="14.42578125" hidden="1" customWidth="1" outlineLevel="1"/>
    <col min="87" max="87" width="2.5703125" hidden="1" customWidth="1" outlineLevel="1"/>
    <col min="88" max="88" width="9.140625" style="18" hidden="1" customWidth="1" outlineLevel="1"/>
    <col min="89" max="89" width="14.42578125" hidden="1" customWidth="1" outlineLevel="1"/>
    <col min="90" max="90" width="4.42578125" hidden="1" customWidth="1" outlineLevel="1"/>
    <col min="91" max="91" width="11.85546875" style="18" customWidth="1" collapsed="1"/>
    <col min="92" max="92" width="14.140625" customWidth="1"/>
    <col min="93" max="93" width="2.5703125" customWidth="1"/>
    <col min="94" max="94" width="12.28515625" style="18" customWidth="1"/>
    <col min="95" max="95" width="3.140625" customWidth="1"/>
    <col min="96" max="96" width="9.140625" style="18"/>
    <col min="97" max="97" width="8.85546875" style="34" customWidth="1"/>
  </cols>
  <sheetData>
    <row r="1" spans="1:101" ht="15.75" thickBot="1">
      <c r="A1" s="454" t="s">
        <v>287</v>
      </c>
      <c r="B1" s="455"/>
      <c r="C1" s="455"/>
      <c r="D1" s="455"/>
      <c r="E1" s="455"/>
      <c r="F1" s="455"/>
      <c r="G1" s="455"/>
      <c r="H1" s="455"/>
      <c r="I1" s="12"/>
      <c r="J1" s="12"/>
      <c r="K1" s="19">
        <v>0.03</v>
      </c>
      <c r="AZ1" s="18">
        <f>AZ90</f>
        <v>211541.07</v>
      </c>
      <c r="BA1" s="18">
        <f>BA90</f>
        <v>4603541.07</v>
      </c>
      <c r="BC1" s="18">
        <f>BC90</f>
        <v>0</v>
      </c>
      <c r="BD1" s="18">
        <f>BD90</f>
        <v>4603541.07</v>
      </c>
      <c r="BF1" s="18">
        <f>BF90</f>
        <v>49297.26</v>
      </c>
      <c r="BG1" s="18">
        <f>BG90</f>
        <v>4652838.33</v>
      </c>
      <c r="BI1" s="18">
        <f>BI90</f>
        <v>1092487.9100000001</v>
      </c>
      <c r="BJ1" s="18">
        <f>BJ90</f>
        <v>5745326.2400000002</v>
      </c>
      <c r="BZ1" s="384"/>
      <c r="CB1" s="18">
        <f>CB90</f>
        <v>7787728.96</v>
      </c>
      <c r="CD1" s="18">
        <f>CD90</f>
        <v>152000</v>
      </c>
      <c r="CE1" s="18">
        <f>CE90</f>
        <v>7939728.96</v>
      </c>
      <c r="CG1" s="18">
        <f>CG90</f>
        <v>0</v>
      </c>
      <c r="CH1" s="18">
        <f>CH90</f>
        <v>7939728.96</v>
      </c>
      <c r="CJ1" s="18">
        <f>CJ90</f>
        <v>102500</v>
      </c>
      <c r="CK1" s="18">
        <f>CK90</f>
        <v>8042228.96</v>
      </c>
      <c r="CM1" s="18">
        <f>CM90</f>
        <v>-241741.08</v>
      </c>
      <c r="CN1" s="18">
        <f>CN90</f>
        <v>7800487.8799999999</v>
      </c>
      <c r="CR1" s="18">
        <f>CR90</f>
        <v>7036388.8899999997</v>
      </c>
    </row>
    <row r="2" spans="1:101">
      <c r="A2" s="11"/>
      <c r="B2" s="12"/>
      <c r="C2" s="12"/>
      <c r="D2" s="458">
        <v>2019</v>
      </c>
      <c r="E2" s="458"/>
      <c r="F2" s="458"/>
      <c r="G2" s="458"/>
      <c r="H2" s="458"/>
      <c r="I2" s="15">
        <f>12/10</f>
        <v>1.2</v>
      </c>
      <c r="J2" s="15"/>
      <c r="L2" s="197">
        <v>2020</v>
      </c>
      <c r="P2" t="s">
        <v>394</v>
      </c>
      <c r="R2" t="s">
        <v>394</v>
      </c>
      <c r="U2" s="134" t="s">
        <v>411</v>
      </c>
      <c r="X2" s="141" t="s">
        <v>416</v>
      </c>
      <c r="Z2" s="134" t="s">
        <v>418</v>
      </c>
      <c r="AD2" s="459" t="s">
        <v>442</v>
      </c>
      <c r="AE2" s="460"/>
      <c r="AF2" s="461"/>
      <c r="AH2" s="459" t="s">
        <v>446</v>
      </c>
      <c r="AI2" s="460"/>
      <c r="AJ2" s="461"/>
      <c r="AL2" s="326">
        <v>2020</v>
      </c>
      <c r="AM2" s="228"/>
      <c r="AN2" s="326">
        <v>2021</v>
      </c>
      <c r="BL2" s="276">
        <v>2021</v>
      </c>
      <c r="BO2" s="276">
        <v>2022</v>
      </c>
      <c r="BZ2" s="384"/>
      <c r="CP2" s="276">
        <v>2022</v>
      </c>
      <c r="CR2" s="276">
        <v>2023</v>
      </c>
    </row>
    <row r="3" spans="1:101" ht="45.75" thickBot="1">
      <c r="A3" s="1" t="s">
        <v>0</v>
      </c>
      <c r="B3" s="1" t="s">
        <v>0</v>
      </c>
      <c r="C3" s="1" t="s">
        <v>0</v>
      </c>
      <c r="D3" s="1" t="s">
        <v>1</v>
      </c>
      <c r="E3" s="29" t="s">
        <v>0</v>
      </c>
      <c r="F3" s="1" t="s">
        <v>2</v>
      </c>
      <c r="G3" s="29" t="s">
        <v>0</v>
      </c>
      <c r="H3" s="2" t="s">
        <v>285</v>
      </c>
      <c r="I3" s="16" t="s">
        <v>289</v>
      </c>
      <c r="J3" s="16"/>
      <c r="L3" s="135" t="s">
        <v>2</v>
      </c>
      <c r="M3" t="s">
        <v>295</v>
      </c>
      <c r="N3" t="s">
        <v>293</v>
      </c>
      <c r="P3" s="161">
        <v>43891</v>
      </c>
      <c r="Q3" s="161"/>
      <c r="R3" s="149">
        <v>43963</v>
      </c>
      <c r="AD3" s="462"/>
      <c r="AE3" s="463"/>
      <c r="AF3" s="464"/>
      <c r="AH3" s="462"/>
      <c r="AI3" s="463"/>
      <c r="AJ3" s="464"/>
      <c r="AL3" s="134" t="s">
        <v>448</v>
      </c>
      <c r="AM3" s="141"/>
      <c r="AN3" s="134" t="s">
        <v>458</v>
      </c>
      <c r="AO3" s="207" t="s">
        <v>461</v>
      </c>
      <c r="AP3" t="s">
        <v>459</v>
      </c>
      <c r="AQ3" t="s">
        <v>460</v>
      </c>
      <c r="AZ3" t="s">
        <v>401</v>
      </c>
      <c r="BC3" t="s">
        <v>411</v>
      </c>
      <c r="BF3" t="s">
        <v>416</v>
      </c>
      <c r="BI3" s="18" t="s">
        <v>418</v>
      </c>
      <c r="BL3" s="275" t="s">
        <v>448</v>
      </c>
      <c r="BM3" s="277" t="s">
        <v>506</v>
      </c>
      <c r="BO3" s="275" t="s">
        <v>555</v>
      </c>
      <c r="BP3" s="277" t="s">
        <v>509</v>
      </c>
      <c r="BR3" s="134" t="s">
        <v>401</v>
      </c>
      <c r="BU3" s="134" t="s">
        <v>411</v>
      </c>
      <c r="BX3" s="134" t="s">
        <v>416</v>
      </c>
      <c r="BZ3" s="384" t="s">
        <v>568</v>
      </c>
      <c r="CA3" s="383" t="s">
        <v>569</v>
      </c>
      <c r="CD3" s="383" t="s">
        <v>418</v>
      </c>
      <c r="CG3" s="382" t="s">
        <v>442</v>
      </c>
      <c r="CJ3" s="382" t="s">
        <v>446</v>
      </c>
      <c r="CM3" s="382" t="s">
        <v>582</v>
      </c>
      <c r="CP3" s="275" t="s">
        <v>448</v>
      </c>
      <c r="CR3" s="382" t="s">
        <v>458</v>
      </c>
      <c r="CS3" s="277" t="s">
        <v>586</v>
      </c>
    </row>
    <row r="4" spans="1:101" ht="15.75" thickBot="1">
      <c r="A4" s="1" t="s">
        <v>4</v>
      </c>
      <c r="B4" s="1" t="s">
        <v>5</v>
      </c>
      <c r="C4" s="4" t="s">
        <v>6</v>
      </c>
      <c r="D4" s="1" t="s">
        <v>7</v>
      </c>
      <c r="E4" s="29" t="s">
        <v>8</v>
      </c>
      <c r="F4" s="1" t="s">
        <v>9</v>
      </c>
      <c r="G4" s="29" t="s">
        <v>8</v>
      </c>
      <c r="H4" s="2" t="s">
        <v>286</v>
      </c>
      <c r="I4" s="16" t="s">
        <v>290</v>
      </c>
      <c r="J4" s="16"/>
      <c r="L4" s="136"/>
      <c r="M4" t="s">
        <v>292</v>
      </c>
      <c r="N4" t="s">
        <v>294</v>
      </c>
      <c r="P4" s="165">
        <v>0.1</v>
      </c>
      <c r="Q4" s="165">
        <v>0.15</v>
      </c>
      <c r="R4" s="165">
        <v>0.2</v>
      </c>
      <c r="S4" s="165">
        <v>0.28000000000000003</v>
      </c>
      <c r="AB4" s="218" t="s">
        <v>440</v>
      </c>
      <c r="AC4" s="218"/>
      <c r="AE4"/>
      <c r="AF4" s="212" t="s">
        <v>443</v>
      </c>
      <c r="AG4" s="218"/>
      <c r="AI4"/>
      <c r="AJ4" s="212" t="s">
        <v>447</v>
      </c>
      <c r="AZ4" t="s">
        <v>474</v>
      </c>
      <c r="BA4" t="s">
        <v>475</v>
      </c>
      <c r="BC4" t="s">
        <v>474</v>
      </c>
      <c r="BD4" t="s">
        <v>475</v>
      </c>
      <c r="BF4" t="s">
        <v>474</v>
      </c>
      <c r="BG4" t="s">
        <v>475</v>
      </c>
      <c r="BI4" s="18" t="s">
        <v>474</v>
      </c>
      <c r="BJ4" t="s">
        <v>475</v>
      </c>
      <c r="BR4" s="18" t="s">
        <v>474</v>
      </c>
      <c r="BS4" t="s">
        <v>475</v>
      </c>
      <c r="BU4" s="18" t="s">
        <v>474</v>
      </c>
      <c r="BV4" t="s">
        <v>475</v>
      </c>
      <c r="BX4" s="18" t="s">
        <v>474</v>
      </c>
      <c r="BY4" t="s">
        <v>475</v>
      </c>
      <c r="BZ4" s="384"/>
      <c r="CA4" s="207" t="s">
        <v>474</v>
      </c>
      <c r="CB4" t="s">
        <v>475</v>
      </c>
      <c r="CD4" s="18" t="s">
        <v>474</v>
      </c>
      <c r="CE4" t="s">
        <v>475</v>
      </c>
      <c r="CG4" s="18" t="s">
        <v>474</v>
      </c>
      <c r="CH4" t="s">
        <v>475</v>
      </c>
      <c r="CJ4" s="18" t="s">
        <v>474</v>
      </c>
      <c r="CK4" t="s">
        <v>475</v>
      </c>
      <c r="CM4" s="18" t="s">
        <v>474</v>
      </c>
      <c r="CN4" t="s">
        <v>475</v>
      </c>
    </row>
    <row r="5" spans="1:101" outlineLevel="1">
      <c r="A5" s="3" t="s">
        <v>11</v>
      </c>
      <c r="B5" s="3" t="s">
        <v>12</v>
      </c>
      <c r="C5" s="5" t="s">
        <v>13</v>
      </c>
      <c r="D5" s="6">
        <v>1010000</v>
      </c>
      <c r="E5" s="30">
        <v>82.3</v>
      </c>
      <c r="F5" s="6">
        <v>1010000</v>
      </c>
      <c r="G5" s="30">
        <v>82.3</v>
      </c>
      <c r="H5" s="7">
        <v>831253.08</v>
      </c>
      <c r="I5" s="17">
        <v>1000000</v>
      </c>
      <c r="J5" s="17"/>
      <c r="K5" s="18">
        <f>I5*(1+$K$1)</f>
        <v>1030000</v>
      </c>
      <c r="L5" s="178">
        <v>1100000</v>
      </c>
      <c r="M5" s="20">
        <f>L5/F5-1</f>
        <v>8.9108910891089188E-2</v>
      </c>
      <c r="N5" s="20">
        <f>L5/I5-1</f>
        <v>0.10000000000000009</v>
      </c>
      <c r="P5" s="18">
        <f t="shared" ref="P5:P10" si="0">(L5/4)+((L5*3/4)*(1-$P$4))</f>
        <v>1017500</v>
      </c>
      <c r="Q5" s="18">
        <f t="shared" ref="Q5:Q10" si="1">(L5/4)+((L5*3/4)*(1-$Q$4))</f>
        <v>976250</v>
      </c>
      <c r="R5" s="18">
        <f t="shared" ref="R5:R10" si="2">(L5/4)+((L5*3/4)*(1-$R$4))</f>
        <v>935000</v>
      </c>
      <c r="S5" s="18">
        <f t="shared" ref="S5:S10" si="3">(L5/4)+((L5*3/4)*(1-$S$4))</f>
        <v>869000</v>
      </c>
      <c r="U5" s="134">
        <f>880000</f>
        <v>880000</v>
      </c>
      <c r="V5" s="20">
        <f>U5/L5-1</f>
        <v>-0.19999999999999996</v>
      </c>
      <c r="X5" s="134">
        <f>U5</f>
        <v>880000</v>
      </c>
      <c r="Z5" s="134">
        <v>950000</v>
      </c>
      <c r="AB5" s="219">
        <f>Z5-X5</f>
        <v>70000</v>
      </c>
      <c r="AC5" s="219"/>
      <c r="AD5" s="134">
        <v>1000000</v>
      </c>
      <c r="AE5" s="219"/>
      <c r="AF5" s="213">
        <f>AD5-Z5</f>
        <v>50000</v>
      </c>
      <c r="AG5" s="219"/>
      <c r="AH5" s="134">
        <v>1050000</v>
      </c>
      <c r="AI5" s="219"/>
      <c r="AJ5" s="213">
        <f>AH5-AD5</f>
        <v>50000</v>
      </c>
      <c r="AK5" s="134"/>
      <c r="AL5" s="18">
        <v>1049799.99</v>
      </c>
      <c r="AM5" s="224"/>
      <c r="AN5" s="269">
        <v>800000</v>
      </c>
      <c r="AO5" s="20">
        <f>AN5/L5-1</f>
        <v>-0.27272727272727271</v>
      </c>
      <c r="AP5" s="20">
        <f>AN5/AH5-1</f>
        <v>-0.23809523809523814</v>
      </c>
      <c r="AQ5" s="20">
        <f>AN5/AL5-1</f>
        <v>-0.23795007847161442</v>
      </c>
      <c r="BA5" s="18">
        <f>AN5+AZ5</f>
        <v>800000</v>
      </c>
      <c r="BD5" s="18">
        <f>BA5</f>
        <v>800000</v>
      </c>
      <c r="BG5" s="18">
        <f>BD5</f>
        <v>800000</v>
      </c>
      <c r="BI5" s="18">
        <v>-60000</v>
      </c>
      <c r="BJ5" s="18">
        <f>BG5+BI5</f>
        <v>740000</v>
      </c>
      <c r="BL5" s="18">
        <v>776923.65</v>
      </c>
      <c r="BM5" s="279">
        <f>BL5/BJ5</f>
        <v>1.0498968243243243</v>
      </c>
      <c r="BO5" s="18">
        <v>800000</v>
      </c>
      <c r="BP5" s="279">
        <f>BO5/BL5</f>
        <v>1.0297022107642109</v>
      </c>
      <c r="BS5" s="18">
        <f>BO5+BR5</f>
        <v>800000</v>
      </c>
      <c r="BV5" s="18">
        <f t="shared" ref="BV5:BV19" si="4">BS5+BU5</f>
        <v>800000</v>
      </c>
      <c r="BY5" s="18">
        <f t="shared" ref="BY5:BY11" si="5">BV5+BX5</f>
        <v>800000</v>
      </c>
      <c r="BZ5" s="384"/>
      <c r="CB5" s="18">
        <f t="shared" ref="CB5:CB10" si="6">BY5+CA5</f>
        <v>800000</v>
      </c>
      <c r="CE5" s="18">
        <f t="shared" ref="CE5:CE10" si="7">CB5+CD5</f>
        <v>800000</v>
      </c>
      <c r="CG5" s="207"/>
      <c r="CH5" s="18">
        <f t="shared" ref="CH5:CH10" si="8">CE5+CG5</f>
        <v>800000</v>
      </c>
      <c r="CJ5" s="269">
        <v>10000</v>
      </c>
      <c r="CK5" s="18">
        <f t="shared" ref="CK5:CK10" si="9">CH5+CJ5</f>
        <v>810000</v>
      </c>
      <c r="CM5" s="207"/>
      <c r="CN5" s="18">
        <f t="shared" ref="CN5:CN10" si="10">CK5+CM5</f>
        <v>810000</v>
      </c>
      <c r="CP5" s="18">
        <v>809558.57</v>
      </c>
      <c r="CR5" s="207">
        <v>850000</v>
      </c>
      <c r="CS5" s="279">
        <f>CR5/CP5</f>
        <v>1.0499549155535468</v>
      </c>
    </row>
    <row r="6" spans="1:101" outlineLevel="1">
      <c r="A6" s="1" t="s">
        <v>11</v>
      </c>
      <c r="B6" s="1" t="s">
        <v>14</v>
      </c>
      <c r="C6" s="4" t="s">
        <v>15</v>
      </c>
      <c r="D6" s="8">
        <v>23000</v>
      </c>
      <c r="E6" s="31">
        <v>84.16</v>
      </c>
      <c r="F6" s="8">
        <v>23000</v>
      </c>
      <c r="G6" s="31">
        <v>84.16</v>
      </c>
      <c r="H6" s="9">
        <v>19356.05</v>
      </c>
      <c r="I6" s="17">
        <v>24000</v>
      </c>
      <c r="J6" s="17"/>
      <c r="K6" s="18">
        <f t="shared" ref="K6:K11" si="11">I6*(1+$K$1)</f>
        <v>24720</v>
      </c>
      <c r="L6" s="178">
        <v>25000</v>
      </c>
      <c r="M6" s="20">
        <f t="shared" ref="M6:M16" si="12">L6/F6-1</f>
        <v>8.6956521739130377E-2</v>
      </c>
      <c r="N6" s="20">
        <f t="shared" ref="N6:N19" si="13">L6/I6-1</f>
        <v>4.1666666666666741E-2</v>
      </c>
      <c r="P6" s="18">
        <f t="shared" si="0"/>
        <v>23125</v>
      </c>
      <c r="Q6" s="18">
        <f t="shared" si="1"/>
        <v>22187.5</v>
      </c>
      <c r="R6" s="18">
        <f t="shared" si="2"/>
        <v>21250</v>
      </c>
      <c r="S6" s="18">
        <f t="shared" si="3"/>
        <v>19750</v>
      </c>
      <c r="U6" s="134">
        <v>15000</v>
      </c>
      <c r="V6" s="20">
        <f t="shared" ref="V6:V19" si="14">U6/L6-1</f>
        <v>-0.4</v>
      </c>
      <c r="X6" s="134">
        <f t="shared" ref="X6:X19" si="15">U6</f>
        <v>15000</v>
      </c>
      <c r="Z6" s="134">
        <v>9420</v>
      </c>
      <c r="AB6" s="219">
        <f t="shared" ref="AB6:AB19" si="16">Z6-X6</f>
        <v>-5580</v>
      </c>
      <c r="AC6" s="219"/>
      <c r="AD6" s="134">
        <v>17000</v>
      </c>
      <c r="AE6" s="219"/>
      <c r="AF6" s="213">
        <f t="shared" ref="AF6:AF19" si="17">AD6-Z6</f>
        <v>7580</v>
      </c>
      <c r="AG6" s="219"/>
      <c r="AH6" s="134">
        <v>17000</v>
      </c>
      <c r="AI6" s="219"/>
      <c r="AJ6" s="213">
        <f t="shared" ref="AJ6:AJ11" si="18">AH6-AD6</f>
        <v>0</v>
      </c>
      <c r="AK6" s="134"/>
      <c r="AL6" s="18">
        <v>16969.14</v>
      </c>
      <c r="AM6" s="224"/>
      <c r="AN6" s="269">
        <v>15000</v>
      </c>
      <c r="AO6" s="20">
        <f t="shared" ref="AO6:AO19" si="19">AN6/L6-1</f>
        <v>-0.4</v>
      </c>
      <c r="AP6" s="20">
        <f t="shared" ref="AP6:AP19" si="20">AN6/AH6-1</f>
        <v>-0.11764705882352944</v>
      </c>
      <c r="AQ6" s="20">
        <f t="shared" ref="AQ6:AQ19" si="21">AN6/AL6-1</f>
        <v>-0.11604241582071928</v>
      </c>
      <c r="BA6" s="18">
        <f t="shared" ref="BA6:BA19" si="22">AN6+AZ6</f>
        <v>15000</v>
      </c>
      <c r="BD6" s="18">
        <f t="shared" ref="BD6:BD64" si="23">BA6</f>
        <v>15000</v>
      </c>
      <c r="BG6" s="18">
        <f t="shared" ref="BG6:BG19" si="24">BD6</f>
        <v>15000</v>
      </c>
      <c r="BI6" s="18">
        <v>20000</v>
      </c>
      <c r="BJ6" s="18">
        <f t="shared" ref="BJ6:BJ19" si="25">BG6+BI6</f>
        <v>35000</v>
      </c>
      <c r="BL6" s="18">
        <v>50429.01</v>
      </c>
      <c r="BM6" s="279">
        <f t="shared" ref="BM6:BM25" si="26">BL6/BJ6</f>
        <v>1.4408288571428571</v>
      </c>
      <c r="BO6" s="18">
        <v>52000</v>
      </c>
      <c r="BP6" s="279">
        <f t="shared" ref="BP6:BP8" si="27">BO6/BL6</f>
        <v>1.0311525052742458</v>
      </c>
      <c r="BS6" s="18">
        <f t="shared" ref="BS6:BS19" si="28">BO6+BR6</f>
        <v>52000</v>
      </c>
      <c r="BV6" s="18">
        <f t="shared" si="4"/>
        <v>52000</v>
      </c>
      <c r="BY6" s="18">
        <f t="shared" si="5"/>
        <v>52000</v>
      </c>
      <c r="BZ6" s="384"/>
      <c r="CB6" s="18">
        <f t="shared" si="6"/>
        <v>52000</v>
      </c>
      <c r="CD6" s="269">
        <v>9000</v>
      </c>
      <c r="CE6" s="18">
        <f t="shared" si="7"/>
        <v>61000</v>
      </c>
      <c r="CG6" s="207"/>
      <c r="CH6" s="18">
        <f t="shared" si="8"/>
        <v>61000</v>
      </c>
      <c r="CJ6" s="269">
        <v>14000</v>
      </c>
      <c r="CK6" s="18">
        <f t="shared" si="9"/>
        <v>75000</v>
      </c>
      <c r="CM6" s="207"/>
      <c r="CN6" s="18">
        <f t="shared" si="10"/>
        <v>75000</v>
      </c>
      <c r="CP6" s="18">
        <v>73969.38</v>
      </c>
      <c r="CR6" s="207">
        <v>80000</v>
      </c>
      <c r="CS6" s="279">
        <f>CR6/CP6</f>
        <v>1.0815286000774915</v>
      </c>
    </row>
    <row r="7" spans="1:101" outlineLevel="1">
      <c r="A7" s="1" t="s">
        <v>11</v>
      </c>
      <c r="B7" s="1" t="s">
        <v>16</v>
      </c>
      <c r="C7" s="4" t="s">
        <v>17</v>
      </c>
      <c r="D7" s="8">
        <v>91000</v>
      </c>
      <c r="E7" s="31">
        <v>92.03</v>
      </c>
      <c r="F7" s="8">
        <v>91000</v>
      </c>
      <c r="G7" s="31">
        <v>92.03</v>
      </c>
      <c r="H7" s="9">
        <v>83745.94</v>
      </c>
      <c r="I7" s="17">
        <v>100000</v>
      </c>
      <c r="J7" s="17"/>
      <c r="K7" s="18">
        <f t="shared" si="11"/>
        <v>103000</v>
      </c>
      <c r="L7" s="178">
        <v>101000</v>
      </c>
      <c r="M7" s="20">
        <f t="shared" si="12"/>
        <v>0.10989010989010994</v>
      </c>
      <c r="N7" s="20">
        <f t="shared" si="13"/>
        <v>1.0000000000000009E-2</v>
      </c>
      <c r="P7" s="18">
        <f t="shared" si="0"/>
        <v>93425</v>
      </c>
      <c r="Q7" s="18">
        <f t="shared" si="1"/>
        <v>89637.5</v>
      </c>
      <c r="R7" s="18">
        <f t="shared" si="2"/>
        <v>85850</v>
      </c>
      <c r="S7" s="18">
        <f t="shared" si="3"/>
        <v>79790</v>
      </c>
      <c r="U7" s="134">
        <v>90000</v>
      </c>
      <c r="V7" s="20">
        <f t="shared" si="14"/>
        <v>-0.1089108910891089</v>
      </c>
      <c r="X7" s="134">
        <f t="shared" si="15"/>
        <v>90000</v>
      </c>
      <c r="Z7" s="134">
        <v>98000</v>
      </c>
      <c r="AB7" s="219">
        <f t="shared" si="16"/>
        <v>8000</v>
      </c>
      <c r="AC7" s="219"/>
      <c r="AD7" s="134">
        <v>104000</v>
      </c>
      <c r="AE7" s="219"/>
      <c r="AF7" s="213">
        <f t="shared" si="17"/>
        <v>6000</v>
      </c>
      <c r="AG7" s="219"/>
      <c r="AH7" s="134">
        <v>104000</v>
      </c>
      <c r="AI7" s="219"/>
      <c r="AJ7" s="213">
        <f t="shared" si="18"/>
        <v>0</v>
      </c>
      <c r="AK7" s="134"/>
      <c r="AL7" s="18">
        <v>103688.41</v>
      </c>
      <c r="AM7" s="224"/>
      <c r="AN7" s="269">
        <v>80000</v>
      </c>
      <c r="AO7" s="20">
        <f t="shared" si="19"/>
        <v>-0.20792079207920788</v>
      </c>
      <c r="AP7" s="20">
        <f t="shared" si="20"/>
        <v>-0.23076923076923073</v>
      </c>
      <c r="AQ7" s="20">
        <f t="shared" si="21"/>
        <v>-0.22845764536267843</v>
      </c>
      <c r="BA7" s="18">
        <f t="shared" si="22"/>
        <v>80000</v>
      </c>
      <c r="BD7" s="18">
        <f t="shared" si="23"/>
        <v>80000</v>
      </c>
      <c r="BG7" s="18">
        <f t="shared" si="24"/>
        <v>80000</v>
      </c>
      <c r="BI7" s="18">
        <v>40000</v>
      </c>
      <c r="BJ7" s="18">
        <f t="shared" si="25"/>
        <v>120000</v>
      </c>
      <c r="BL7" s="18">
        <v>130795.64</v>
      </c>
      <c r="BM7" s="279">
        <f t="shared" si="26"/>
        <v>1.0899636666666666</v>
      </c>
      <c r="BO7" s="18">
        <v>133000</v>
      </c>
      <c r="BP7" s="279">
        <f t="shared" si="27"/>
        <v>1.0168534669810094</v>
      </c>
      <c r="BR7" s="18">
        <v>7000</v>
      </c>
      <c r="BS7" s="18">
        <f t="shared" si="28"/>
        <v>140000</v>
      </c>
      <c r="BV7" s="18">
        <f t="shared" si="4"/>
        <v>140000</v>
      </c>
      <c r="BY7" s="18">
        <f t="shared" si="5"/>
        <v>140000</v>
      </c>
      <c r="BZ7" s="384"/>
      <c r="CB7" s="18">
        <f t="shared" si="6"/>
        <v>140000</v>
      </c>
      <c r="CD7" s="269">
        <v>9000</v>
      </c>
      <c r="CE7" s="18">
        <f t="shared" si="7"/>
        <v>149000</v>
      </c>
      <c r="CG7" s="207"/>
      <c r="CH7" s="18">
        <f t="shared" si="8"/>
        <v>149000</v>
      </c>
      <c r="CJ7" s="269">
        <v>16000</v>
      </c>
      <c r="CK7" s="18">
        <f t="shared" si="9"/>
        <v>165000</v>
      </c>
      <c r="CM7" s="207"/>
      <c r="CN7" s="18">
        <f t="shared" si="10"/>
        <v>165000</v>
      </c>
      <c r="CP7" s="18">
        <v>164440.95999999999</v>
      </c>
      <c r="CR7" s="207">
        <v>175000</v>
      </c>
      <c r="CS7" s="279">
        <f>CR7/CP7</f>
        <v>1.0642117389730636</v>
      </c>
    </row>
    <row r="8" spans="1:101" outlineLevel="1">
      <c r="A8" s="1" t="s">
        <v>11</v>
      </c>
      <c r="B8" s="1" t="s">
        <v>18</v>
      </c>
      <c r="C8" s="4" t="s">
        <v>19</v>
      </c>
      <c r="D8" s="8">
        <v>875000</v>
      </c>
      <c r="E8" s="31">
        <v>87.66</v>
      </c>
      <c r="F8" s="8">
        <v>875000</v>
      </c>
      <c r="G8" s="31">
        <v>87.66</v>
      </c>
      <c r="H8" s="9">
        <v>767029.6</v>
      </c>
      <c r="I8" s="17">
        <v>930000</v>
      </c>
      <c r="J8" s="17"/>
      <c r="K8" s="18">
        <f t="shared" si="11"/>
        <v>957900</v>
      </c>
      <c r="L8" s="178">
        <v>960000</v>
      </c>
      <c r="M8" s="20">
        <f t="shared" si="12"/>
        <v>9.7142857142857197E-2</v>
      </c>
      <c r="N8" s="20">
        <f t="shared" si="13"/>
        <v>3.2258064516129004E-2</v>
      </c>
      <c r="P8" s="18">
        <f t="shared" si="0"/>
        <v>888000</v>
      </c>
      <c r="Q8" s="18">
        <f t="shared" si="1"/>
        <v>852000</v>
      </c>
      <c r="R8" s="18">
        <f t="shared" si="2"/>
        <v>816000</v>
      </c>
      <c r="S8" s="18">
        <f t="shared" si="3"/>
        <v>758400</v>
      </c>
      <c r="U8" s="134">
        <v>670000</v>
      </c>
      <c r="V8" s="20">
        <f t="shared" si="14"/>
        <v>-0.30208333333333337</v>
      </c>
      <c r="X8" s="134">
        <f t="shared" si="15"/>
        <v>670000</v>
      </c>
      <c r="Z8" s="134">
        <v>729000</v>
      </c>
      <c r="AB8" s="219">
        <f t="shared" si="16"/>
        <v>59000</v>
      </c>
      <c r="AC8" s="219"/>
      <c r="AD8" s="134">
        <v>729000</v>
      </c>
      <c r="AE8" s="219"/>
      <c r="AF8" s="213">
        <f t="shared" si="17"/>
        <v>0</v>
      </c>
      <c r="AG8" s="219"/>
      <c r="AH8" s="134">
        <v>777000</v>
      </c>
      <c r="AI8" s="219"/>
      <c r="AJ8" s="213">
        <f t="shared" si="18"/>
        <v>48000</v>
      </c>
      <c r="AK8" s="134"/>
      <c r="AL8" s="18">
        <v>776694.5</v>
      </c>
      <c r="AM8" s="224"/>
      <c r="AN8" s="269">
        <v>700000</v>
      </c>
      <c r="AO8" s="20">
        <f t="shared" si="19"/>
        <v>-0.27083333333333337</v>
      </c>
      <c r="AP8" s="20">
        <f t="shared" si="20"/>
        <v>-9.9099099099099086E-2</v>
      </c>
      <c r="AQ8" s="20">
        <f t="shared" si="21"/>
        <v>-9.8744744555291697E-2</v>
      </c>
      <c r="BA8" s="18">
        <f t="shared" si="22"/>
        <v>700000</v>
      </c>
      <c r="BD8" s="18">
        <f t="shared" si="23"/>
        <v>700000</v>
      </c>
      <c r="BG8" s="18">
        <f t="shared" si="24"/>
        <v>700000</v>
      </c>
      <c r="BI8" s="18">
        <v>400000</v>
      </c>
      <c r="BJ8" s="18">
        <f t="shared" si="25"/>
        <v>1100000</v>
      </c>
      <c r="BL8" s="18">
        <v>1103474.74</v>
      </c>
      <c r="BM8" s="279">
        <f t="shared" si="26"/>
        <v>1.0031588545454546</v>
      </c>
      <c r="BO8" s="18">
        <v>1125000</v>
      </c>
      <c r="BP8" s="279">
        <f t="shared" si="27"/>
        <v>1.0195067990410003</v>
      </c>
      <c r="BR8" s="18">
        <v>25000</v>
      </c>
      <c r="BS8" s="18">
        <f t="shared" si="28"/>
        <v>1150000</v>
      </c>
      <c r="BV8" s="18">
        <f t="shared" si="4"/>
        <v>1150000</v>
      </c>
      <c r="BY8" s="18">
        <f t="shared" si="5"/>
        <v>1150000</v>
      </c>
      <c r="BZ8" s="384"/>
      <c r="CB8" s="18">
        <f t="shared" si="6"/>
        <v>1150000</v>
      </c>
      <c r="CE8" s="18">
        <f t="shared" si="7"/>
        <v>1150000</v>
      </c>
      <c r="CG8" s="207"/>
      <c r="CH8" s="18">
        <f t="shared" si="8"/>
        <v>1150000</v>
      </c>
      <c r="CJ8" s="269">
        <v>100000</v>
      </c>
      <c r="CK8" s="18">
        <f t="shared" si="9"/>
        <v>1250000</v>
      </c>
      <c r="CM8" s="207"/>
      <c r="CN8" s="18">
        <f t="shared" si="10"/>
        <v>1250000</v>
      </c>
      <c r="CP8" s="18">
        <v>1242496.46</v>
      </c>
      <c r="CR8" s="207">
        <v>1320000</v>
      </c>
      <c r="CS8" s="279">
        <f>CR8/CP8</f>
        <v>1.062377272286152</v>
      </c>
    </row>
    <row r="9" spans="1:101" outlineLevel="1">
      <c r="A9" s="1" t="s">
        <v>11</v>
      </c>
      <c r="B9" s="1" t="s">
        <v>20</v>
      </c>
      <c r="C9" s="4" t="s">
        <v>21</v>
      </c>
      <c r="D9" s="8">
        <v>0</v>
      </c>
      <c r="E9" s="31">
        <v>0</v>
      </c>
      <c r="F9" s="8">
        <v>38380</v>
      </c>
      <c r="G9" s="31">
        <v>100</v>
      </c>
      <c r="H9" s="9">
        <v>38380</v>
      </c>
      <c r="I9" s="17">
        <v>46000</v>
      </c>
      <c r="J9" s="17"/>
      <c r="K9" s="18">
        <f t="shared" si="11"/>
        <v>47380</v>
      </c>
      <c r="L9" s="178">
        <v>48000</v>
      </c>
      <c r="M9" s="20">
        <f t="shared" si="12"/>
        <v>0.25065138092756634</v>
      </c>
      <c r="N9" s="20">
        <f t="shared" si="13"/>
        <v>4.3478260869565188E-2</v>
      </c>
      <c r="P9" s="18">
        <f t="shared" si="0"/>
        <v>44400</v>
      </c>
      <c r="Q9" s="18">
        <f t="shared" si="1"/>
        <v>42600</v>
      </c>
      <c r="R9" s="18">
        <f t="shared" si="2"/>
        <v>40800</v>
      </c>
      <c r="S9" s="18">
        <f t="shared" si="3"/>
        <v>37920</v>
      </c>
      <c r="U9" s="134">
        <v>0</v>
      </c>
      <c r="V9" s="20">
        <f t="shared" si="14"/>
        <v>-1</v>
      </c>
      <c r="X9" s="134">
        <f t="shared" si="15"/>
        <v>0</v>
      </c>
      <c r="Z9" s="134">
        <v>0</v>
      </c>
      <c r="AB9" s="219">
        <f t="shared" si="16"/>
        <v>0</v>
      </c>
      <c r="AC9" s="219"/>
      <c r="AD9" s="134">
        <v>0</v>
      </c>
      <c r="AE9" s="219"/>
      <c r="AF9" s="213">
        <f t="shared" si="17"/>
        <v>0</v>
      </c>
      <c r="AG9" s="219"/>
      <c r="AH9" s="134">
        <v>38600</v>
      </c>
      <c r="AI9" s="219"/>
      <c r="AJ9" s="213">
        <f t="shared" si="18"/>
        <v>38600</v>
      </c>
      <c r="AK9" s="134"/>
      <c r="AL9" s="18">
        <v>38570</v>
      </c>
      <c r="AM9" s="224"/>
      <c r="AN9" s="269">
        <v>0</v>
      </c>
      <c r="AO9" s="20">
        <f t="shared" si="19"/>
        <v>-1</v>
      </c>
      <c r="AP9" s="20">
        <f t="shared" si="20"/>
        <v>-1</v>
      </c>
      <c r="AQ9" s="20">
        <f t="shared" si="21"/>
        <v>-1</v>
      </c>
      <c r="BA9" s="18">
        <f t="shared" si="22"/>
        <v>0</v>
      </c>
      <c r="BD9" s="18">
        <f t="shared" si="23"/>
        <v>0</v>
      </c>
      <c r="BG9" s="18">
        <f t="shared" si="24"/>
        <v>0</v>
      </c>
      <c r="BJ9" s="18">
        <f t="shared" si="25"/>
        <v>0</v>
      </c>
      <c r="BM9" s="279"/>
      <c r="BS9" s="18">
        <f t="shared" si="28"/>
        <v>0</v>
      </c>
      <c r="BV9" s="18">
        <f t="shared" si="4"/>
        <v>0</v>
      </c>
      <c r="BY9" s="18">
        <f t="shared" si="5"/>
        <v>0</v>
      </c>
      <c r="BZ9" s="384"/>
      <c r="CB9" s="18">
        <f t="shared" si="6"/>
        <v>0</v>
      </c>
      <c r="CE9" s="18">
        <f t="shared" si="7"/>
        <v>0</v>
      </c>
      <c r="CG9" s="207"/>
      <c r="CH9" s="18">
        <f t="shared" si="8"/>
        <v>0</v>
      </c>
      <c r="CJ9" s="207"/>
      <c r="CK9" s="18">
        <f t="shared" si="9"/>
        <v>0</v>
      </c>
      <c r="CM9" s="207"/>
      <c r="CN9" s="18">
        <f t="shared" si="10"/>
        <v>0</v>
      </c>
      <c r="CR9" s="207"/>
    </row>
    <row r="10" spans="1:101" outlineLevel="1">
      <c r="A10" s="1" t="s">
        <v>11</v>
      </c>
      <c r="B10" s="1" t="s">
        <v>22</v>
      </c>
      <c r="C10" s="4" t="s">
        <v>23</v>
      </c>
      <c r="D10" s="8">
        <v>2100000</v>
      </c>
      <c r="E10" s="31">
        <v>79.510000000000005</v>
      </c>
      <c r="F10" s="8">
        <v>2100000</v>
      </c>
      <c r="G10" s="31">
        <v>79.510000000000005</v>
      </c>
      <c r="H10" s="9">
        <v>1669703.17</v>
      </c>
      <c r="I10" s="17">
        <v>2100000</v>
      </c>
      <c r="J10" s="17"/>
      <c r="K10" s="18">
        <f t="shared" si="11"/>
        <v>2163000</v>
      </c>
      <c r="L10" s="178">
        <v>2220000</v>
      </c>
      <c r="M10" s="20">
        <f t="shared" si="12"/>
        <v>5.7142857142857162E-2</v>
      </c>
      <c r="N10" s="20">
        <f t="shared" si="13"/>
        <v>5.7142857142857162E-2</v>
      </c>
      <c r="P10" s="18">
        <f t="shared" si="0"/>
        <v>2053500</v>
      </c>
      <c r="Q10" s="18">
        <f t="shared" si="1"/>
        <v>1970250</v>
      </c>
      <c r="R10" s="18">
        <f t="shared" si="2"/>
        <v>1887000</v>
      </c>
      <c r="S10" s="18">
        <f t="shared" si="3"/>
        <v>1753800</v>
      </c>
      <c r="U10" s="134">
        <v>1900000</v>
      </c>
      <c r="V10" s="20">
        <f t="shared" si="14"/>
        <v>-0.14414414414414412</v>
      </c>
      <c r="X10" s="134">
        <f t="shared" si="15"/>
        <v>1900000</v>
      </c>
      <c r="Z10" s="134">
        <v>2050000</v>
      </c>
      <c r="AB10" s="219">
        <f t="shared" si="16"/>
        <v>150000</v>
      </c>
      <c r="AC10" s="219"/>
      <c r="AD10" s="134">
        <v>2050000</v>
      </c>
      <c r="AE10" s="219"/>
      <c r="AF10" s="213">
        <f t="shared" si="17"/>
        <v>0</v>
      </c>
      <c r="AG10" s="219"/>
      <c r="AH10" s="134">
        <v>2126000</v>
      </c>
      <c r="AI10" s="219"/>
      <c r="AJ10" s="213">
        <f t="shared" si="18"/>
        <v>76000</v>
      </c>
      <c r="AK10" s="134"/>
      <c r="AL10" s="18">
        <v>2125899.85</v>
      </c>
      <c r="AM10" s="224"/>
      <c r="AN10" s="269">
        <v>2000000</v>
      </c>
      <c r="AO10" s="20">
        <f t="shared" si="19"/>
        <v>-9.9099099099099086E-2</v>
      </c>
      <c r="AP10" s="20">
        <f t="shared" si="20"/>
        <v>-5.9266227657572945E-2</v>
      </c>
      <c r="AQ10" s="20">
        <f t="shared" si="21"/>
        <v>-5.9221910194875882E-2</v>
      </c>
      <c r="BA10" s="18">
        <f t="shared" si="22"/>
        <v>2000000</v>
      </c>
      <c r="BD10" s="18">
        <f t="shared" si="23"/>
        <v>2000000</v>
      </c>
      <c r="BG10" s="18">
        <f t="shared" si="24"/>
        <v>2000000</v>
      </c>
      <c r="BI10" s="18">
        <v>350000</v>
      </c>
      <c r="BJ10" s="18">
        <f>BG10+BI10</f>
        <v>2350000</v>
      </c>
      <c r="BL10" s="18">
        <v>2468598.54</v>
      </c>
      <c r="BM10" s="279">
        <f t="shared" si="26"/>
        <v>1.0504674638297873</v>
      </c>
      <c r="BO10" s="18">
        <v>2750000</v>
      </c>
      <c r="BP10" s="279">
        <f t="shared" ref="BP10:BP16" si="29">BO10/BL10</f>
        <v>1.1139923950534298</v>
      </c>
      <c r="BR10" s="18">
        <v>50000</v>
      </c>
      <c r="BS10" s="18">
        <f t="shared" si="28"/>
        <v>2800000</v>
      </c>
      <c r="BU10" s="269">
        <v>100000</v>
      </c>
      <c r="BV10" s="18">
        <f t="shared" si="4"/>
        <v>2900000</v>
      </c>
      <c r="BY10" s="18">
        <f t="shared" si="5"/>
        <v>2900000</v>
      </c>
      <c r="BZ10" s="384"/>
      <c r="CB10" s="18">
        <f t="shared" si="6"/>
        <v>2900000</v>
      </c>
      <c r="CE10" s="18">
        <f t="shared" si="7"/>
        <v>2900000</v>
      </c>
      <c r="CG10" s="207"/>
      <c r="CH10" s="18">
        <f t="shared" si="8"/>
        <v>2900000</v>
      </c>
      <c r="CJ10" s="269">
        <v>-50000</v>
      </c>
      <c r="CK10" s="18">
        <f t="shared" si="9"/>
        <v>2850000</v>
      </c>
      <c r="CM10" s="207"/>
      <c r="CN10" s="18">
        <f t="shared" si="10"/>
        <v>2850000</v>
      </c>
      <c r="CP10" s="18">
        <v>2826386.12</v>
      </c>
      <c r="CR10" s="207">
        <v>3100000</v>
      </c>
      <c r="CS10" s="279">
        <f t="shared" ref="CS10:CS16" si="30">CR10/CP10</f>
        <v>1.0968069712994486</v>
      </c>
    </row>
    <row r="11" spans="1:101" outlineLevel="1">
      <c r="A11" s="1" t="s">
        <v>11</v>
      </c>
      <c r="B11" s="1" t="s">
        <v>24</v>
      </c>
      <c r="C11" s="4" t="s">
        <v>25</v>
      </c>
      <c r="D11" s="8">
        <v>0</v>
      </c>
      <c r="E11" s="31">
        <v>0</v>
      </c>
      <c r="F11" s="8">
        <v>18962.8</v>
      </c>
      <c r="G11" s="31">
        <v>152.63</v>
      </c>
      <c r="H11" s="9">
        <v>28943.200000000001</v>
      </c>
      <c r="I11" s="17">
        <f>H11</f>
        <v>28943.200000000001</v>
      </c>
      <c r="J11" s="17"/>
      <c r="K11" s="18">
        <f t="shared" si="11"/>
        <v>29811.496000000003</v>
      </c>
      <c r="L11" s="178">
        <v>0</v>
      </c>
      <c r="M11" s="20">
        <f t="shared" si="12"/>
        <v>-1</v>
      </c>
      <c r="N11" s="20">
        <f t="shared" si="13"/>
        <v>-1</v>
      </c>
      <c r="P11" s="18">
        <v>0</v>
      </c>
      <c r="Q11" s="18">
        <v>0</v>
      </c>
      <c r="R11" s="18">
        <v>0</v>
      </c>
      <c r="S11" s="18">
        <v>0</v>
      </c>
      <c r="U11" s="134">
        <v>19000</v>
      </c>
      <c r="V11" s="20" t="e">
        <f t="shared" si="14"/>
        <v>#DIV/0!</v>
      </c>
      <c r="X11" s="134">
        <f t="shared" si="15"/>
        <v>19000</v>
      </c>
      <c r="Z11" s="134">
        <v>29000</v>
      </c>
      <c r="AB11" s="219">
        <f t="shared" si="16"/>
        <v>10000</v>
      </c>
      <c r="AC11" s="219"/>
      <c r="AD11" s="134">
        <v>29000</v>
      </c>
      <c r="AE11" s="219"/>
      <c r="AF11" s="213">
        <f t="shared" si="17"/>
        <v>0</v>
      </c>
      <c r="AG11" s="219"/>
      <c r="AH11" s="134">
        <v>34500</v>
      </c>
      <c r="AI11" s="219"/>
      <c r="AJ11" s="213">
        <f t="shared" si="18"/>
        <v>5500</v>
      </c>
      <c r="AK11" s="134"/>
      <c r="AL11" s="18">
        <v>34453.03</v>
      </c>
      <c r="AM11" s="224"/>
      <c r="AN11" s="269">
        <v>0</v>
      </c>
      <c r="AO11" s="20"/>
      <c r="AP11" s="20">
        <f t="shared" si="20"/>
        <v>-1</v>
      </c>
      <c r="AQ11" s="20">
        <f t="shared" si="21"/>
        <v>-1</v>
      </c>
      <c r="BA11" s="18">
        <f t="shared" si="22"/>
        <v>0</v>
      </c>
      <c r="BD11" s="18">
        <f t="shared" si="23"/>
        <v>0</v>
      </c>
      <c r="BG11" s="18">
        <f t="shared" si="24"/>
        <v>0</v>
      </c>
      <c r="BI11" s="18">
        <v>19000</v>
      </c>
      <c r="BJ11" s="18">
        <f t="shared" si="25"/>
        <v>19000</v>
      </c>
      <c r="BL11" s="18">
        <v>18962.8</v>
      </c>
      <c r="BM11" s="279">
        <f t="shared" si="26"/>
        <v>0.99804210526315784</v>
      </c>
      <c r="BO11" s="207">
        <v>20000</v>
      </c>
      <c r="BP11" s="279">
        <f t="shared" si="29"/>
        <v>1.0546965637985952</v>
      </c>
      <c r="BR11" s="18">
        <v>20000</v>
      </c>
      <c r="BS11" s="18">
        <f t="shared" si="28"/>
        <v>40000</v>
      </c>
      <c r="BV11" s="18">
        <f t="shared" si="4"/>
        <v>40000</v>
      </c>
      <c r="BY11" s="18">
        <f t="shared" si="5"/>
        <v>40000</v>
      </c>
      <c r="BZ11" s="384">
        <v>4274.55</v>
      </c>
      <c r="CB11" s="18">
        <f>BY11+CA11</f>
        <v>40000</v>
      </c>
      <c r="CD11" s="269">
        <v>30000</v>
      </c>
      <c r="CE11" s="18">
        <f>CB11+CD11</f>
        <v>70000</v>
      </c>
      <c r="CG11" s="207"/>
      <c r="CH11" s="18">
        <f>CE11+CG11</f>
        <v>70000</v>
      </c>
      <c r="CJ11" s="269">
        <v>13000</v>
      </c>
      <c r="CK11" s="18">
        <f>CH11+CJ11</f>
        <v>83000</v>
      </c>
      <c r="CM11" s="207"/>
      <c r="CN11" s="18">
        <f>CK11+CM11</f>
        <v>83000</v>
      </c>
      <c r="CP11" s="18">
        <v>82469.25</v>
      </c>
      <c r="CR11" s="207">
        <v>20000</v>
      </c>
      <c r="CS11" s="279">
        <f t="shared" si="30"/>
        <v>0.24251463424246006</v>
      </c>
    </row>
    <row r="12" spans="1:101" outlineLevel="1">
      <c r="A12" s="1" t="s">
        <v>11</v>
      </c>
      <c r="B12" s="1" t="s">
        <v>26</v>
      </c>
      <c r="C12" s="4" t="s">
        <v>27</v>
      </c>
      <c r="D12" s="8">
        <v>4000</v>
      </c>
      <c r="E12" s="31">
        <v>106.25</v>
      </c>
      <c r="F12" s="8">
        <v>4000</v>
      </c>
      <c r="G12" s="31">
        <v>106.25</v>
      </c>
      <c r="H12" s="9">
        <v>4250</v>
      </c>
      <c r="I12" s="17">
        <f t="shared" ref="I12:I19" si="31">H12</f>
        <v>4250</v>
      </c>
      <c r="J12" s="17"/>
      <c r="L12" s="134">
        <v>8000</v>
      </c>
      <c r="M12" s="20">
        <f t="shared" si="12"/>
        <v>1</v>
      </c>
      <c r="N12" s="20">
        <f t="shared" si="13"/>
        <v>0.88235294117647056</v>
      </c>
      <c r="P12" s="18">
        <f t="shared" ref="P12:P19" si="32">L12</f>
        <v>8000</v>
      </c>
      <c r="Q12" s="18">
        <f t="shared" ref="Q12:Q19" si="33">P12</f>
        <v>8000</v>
      </c>
      <c r="R12" s="18">
        <f t="shared" ref="R12:R19" si="34">L12</f>
        <v>8000</v>
      </c>
      <c r="S12" s="18">
        <f t="shared" ref="S12:S19" si="35">R12</f>
        <v>8000</v>
      </c>
      <c r="U12" s="134">
        <v>7200</v>
      </c>
      <c r="V12" s="20">
        <f t="shared" si="14"/>
        <v>-9.9999999999999978E-2</v>
      </c>
      <c r="X12" s="134">
        <f t="shared" si="15"/>
        <v>7200</v>
      </c>
      <c r="Z12" s="134">
        <v>7200</v>
      </c>
      <c r="AB12" s="219">
        <f t="shared" si="16"/>
        <v>0</v>
      </c>
      <c r="AC12" s="219"/>
      <c r="AD12" s="134">
        <v>7200</v>
      </c>
      <c r="AE12" s="219"/>
      <c r="AF12" s="213"/>
      <c r="AG12" s="219"/>
      <c r="AH12" s="134">
        <v>7200</v>
      </c>
      <c r="AI12" s="219"/>
      <c r="AJ12" s="213"/>
      <c r="AK12" s="134"/>
      <c r="AL12" s="18">
        <v>7200</v>
      </c>
      <c r="AM12" s="224"/>
      <c r="AN12" s="18">
        <v>7200</v>
      </c>
      <c r="AO12" s="20">
        <f t="shared" si="19"/>
        <v>-9.9999999999999978E-2</v>
      </c>
      <c r="AP12" s="20">
        <f t="shared" si="20"/>
        <v>0</v>
      </c>
      <c r="AQ12" s="20">
        <f t="shared" si="21"/>
        <v>0</v>
      </c>
      <c r="BA12" s="18">
        <f t="shared" si="22"/>
        <v>7200</v>
      </c>
      <c r="BD12" s="18">
        <f t="shared" si="23"/>
        <v>7200</v>
      </c>
      <c r="BG12" s="18">
        <f t="shared" si="24"/>
        <v>7200</v>
      </c>
      <c r="BI12" s="18">
        <v>300</v>
      </c>
      <c r="BJ12" s="18">
        <f t="shared" si="25"/>
        <v>7500</v>
      </c>
      <c r="BL12" s="18">
        <v>7500</v>
      </c>
      <c r="BM12" s="279">
        <f t="shared" si="26"/>
        <v>1</v>
      </c>
      <c r="BO12" s="207">
        <v>7200</v>
      </c>
      <c r="BP12" s="279">
        <f t="shared" si="29"/>
        <v>0.96</v>
      </c>
      <c r="BR12" s="18">
        <v>7500</v>
      </c>
      <c r="BS12" s="18">
        <f t="shared" si="28"/>
        <v>14700</v>
      </c>
      <c r="BU12" s="269">
        <v>-7200</v>
      </c>
      <c r="BV12" s="18">
        <f>BS12+BU12</f>
        <v>7500</v>
      </c>
      <c r="BY12" s="18">
        <f>BV12+BX12</f>
        <v>7500</v>
      </c>
      <c r="BZ12" s="384">
        <v>50</v>
      </c>
      <c r="CB12" s="18">
        <f>BY12+CA12</f>
        <v>7500</v>
      </c>
      <c r="CE12" s="18">
        <f>CB12+CD12</f>
        <v>7500</v>
      </c>
      <c r="CG12" s="207"/>
      <c r="CH12" s="18">
        <f>CE12+CG12</f>
        <v>7500</v>
      </c>
      <c r="CJ12" s="207"/>
      <c r="CK12" s="18">
        <f>CH12+CJ12</f>
        <v>7500</v>
      </c>
      <c r="CM12" s="207"/>
      <c r="CN12" s="18">
        <f>CK12+CM12</f>
        <v>7500</v>
      </c>
      <c r="CP12" s="18">
        <v>7575</v>
      </c>
      <c r="CR12" s="207">
        <v>7500</v>
      </c>
      <c r="CS12" s="279">
        <f t="shared" si="30"/>
        <v>0.99009900990099009</v>
      </c>
    </row>
    <row r="13" spans="1:101" outlineLevel="1">
      <c r="A13" s="1" t="s">
        <v>11</v>
      </c>
      <c r="B13" s="1" t="s">
        <v>28</v>
      </c>
      <c r="C13" s="4" t="s">
        <v>29</v>
      </c>
      <c r="D13" s="8">
        <v>800</v>
      </c>
      <c r="E13" s="31">
        <v>12.5</v>
      </c>
      <c r="F13" s="8">
        <v>800</v>
      </c>
      <c r="G13" s="31">
        <v>12.5</v>
      </c>
      <c r="H13" s="9">
        <v>100</v>
      </c>
      <c r="I13" s="17">
        <f t="shared" si="31"/>
        <v>100</v>
      </c>
      <c r="J13" s="17"/>
      <c r="L13" s="134">
        <v>1000</v>
      </c>
      <c r="M13" s="20">
        <f t="shared" si="12"/>
        <v>0.25</v>
      </c>
      <c r="N13" s="20">
        <f t="shared" si="13"/>
        <v>9</v>
      </c>
      <c r="P13" s="18">
        <f t="shared" si="32"/>
        <v>1000</v>
      </c>
      <c r="Q13" s="18">
        <f t="shared" si="33"/>
        <v>1000</v>
      </c>
      <c r="R13" s="18">
        <f t="shared" si="34"/>
        <v>1000</v>
      </c>
      <c r="S13" s="18">
        <f t="shared" si="35"/>
        <v>1000</v>
      </c>
      <c r="U13" s="134">
        <v>15000</v>
      </c>
      <c r="V13" s="20">
        <f t="shared" si="14"/>
        <v>14</v>
      </c>
      <c r="X13" s="134">
        <f t="shared" si="15"/>
        <v>15000</v>
      </c>
      <c r="Z13" s="134">
        <v>15000</v>
      </c>
      <c r="AB13" s="219">
        <f t="shared" si="16"/>
        <v>0</v>
      </c>
      <c r="AC13" s="219"/>
      <c r="AD13" s="134">
        <v>15000</v>
      </c>
      <c r="AE13" s="219"/>
      <c r="AF13" s="213"/>
      <c r="AG13" s="219"/>
      <c r="AH13" s="134">
        <v>15000</v>
      </c>
      <c r="AI13" s="219"/>
      <c r="AJ13" s="213"/>
      <c r="AK13" s="134"/>
      <c r="AL13" s="18">
        <v>11432</v>
      </c>
      <c r="AM13" s="224"/>
      <c r="AN13" s="18">
        <v>12800</v>
      </c>
      <c r="AO13" s="20">
        <f t="shared" si="19"/>
        <v>11.8</v>
      </c>
      <c r="AP13" s="20">
        <f t="shared" si="20"/>
        <v>-0.14666666666666661</v>
      </c>
      <c r="AQ13" s="20">
        <f t="shared" si="21"/>
        <v>0.11966410076976897</v>
      </c>
      <c r="BA13" s="18">
        <f t="shared" si="22"/>
        <v>12800</v>
      </c>
      <c r="BD13" s="18">
        <f t="shared" si="23"/>
        <v>12800</v>
      </c>
      <c r="BG13" s="18">
        <f t="shared" si="24"/>
        <v>12800</v>
      </c>
      <c r="BI13" s="18">
        <v>15200</v>
      </c>
      <c r="BJ13" s="18">
        <f t="shared" si="25"/>
        <v>28000</v>
      </c>
      <c r="BL13" s="18">
        <v>24455</v>
      </c>
      <c r="BM13" s="279">
        <f t="shared" si="26"/>
        <v>0.87339285714285719</v>
      </c>
      <c r="BO13" s="18">
        <v>10000</v>
      </c>
      <c r="BP13" s="279">
        <f t="shared" si="29"/>
        <v>0.40891433244735226</v>
      </c>
      <c r="BS13" s="18">
        <f t="shared" si="28"/>
        <v>10000</v>
      </c>
      <c r="BV13" s="18">
        <f t="shared" si="4"/>
        <v>10000</v>
      </c>
      <c r="BY13" s="18">
        <f t="shared" ref="BY13:BY19" si="36">BV13+BX13</f>
        <v>10000</v>
      </c>
      <c r="BZ13" s="384"/>
      <c r="CB13" s="18">
        <f t="shared" ref="CB13:CB19" si="37">BY13+CA13</f>
        <v>10000</v>
      </c>
      <c r="CE13" s="18">
        <f t="shared" ref="CE13:CE19" si="38">CB13+CD13</f>
        <v>10000</v>
      </c>
      <c r="CG13" s="207"/>
      <c r="CH13" s="18">
        <f t="shared" ref="CH13:CH19" si="39">CE13+CG13</f>
        <v>10000</v>
      </c>
      <c r="CJ13" s="269">
        <v>-5000</v>
      </c>
      <c r="CK13" s="18">
        <f t="shared" ref="CK13:CK19" si="40">CH13+CJ13</f>
        <v>5000</v>
      </c>
      <c r="CM13" s="207"/>
      <c r="CN13" s="18">
        <f t="shared" ref="CN13:CN19" si="41">CK13+CM13</f>
        <v>5000</v>
      </c>
      <c r="CP13" s="18">
        <v>3291</v>
      </c>
      <c r="CR13" s="207">
        <v>5000</v>
      </c>
      <c r="CS13" s="279">
        <f t="shared" si="30"/>
        <v>1.5192950470981466</v>
      </c>
    </row>
    <row r="14" spans="1:101" outlineLevel="1">
      <c r="A14" s="1" t="s">
        <v>11</v>
      </c>
      <c r="B14" s="350" t="s">
        <v>556</v>
      </c>
      <c r="C14" s="4" t="s">
        <v>557</v>
      </c>
      <c r="D14" s="8">
        <v>180000</v>
      </c>
      <c r="E14" s="31">
        <v>109.28</v>
      </c>
      <c r="F14" s="8">
        <v>192600</v>
      </c>
      <c r="G14" s="31">
        <v>102.13</v>
      </c>
      <c r="H14" s="9">
        <v>196700</v>
      </c>
      <c r="I14" s="17">
        <f>H14</f>
        <v>196700</v>
      </c>
      <c r="J14" s="17"/>
      <c r="L14" s="134">
        <v>197000</v>
      </c>
      <c r="M14" s="20">
        <f>L14/F14-1</f>
        <v>2.2845275181723856E-2</v>
      </c>
      <c r="N14" s="20">
        <f>L14/I14-1</f>
        <v>1.5251652262329163E-3</v>
      </c>
      <c r="P14" s="18">
        <f>L14</f>
        <v>197000</v>
      </c>
      <c r="Q14" s="18">
        <f>P14</f>
        <v>197000</v>
      </c>
      <c r="R14" s="18">
        <f>L14</f>
        <v>197000</v>
      </c>
      <c r="S14" s="18">
        <f>R14</f>
        <v>197000</v>
      </c>
      <c r="U14" s="134">
        <v>195000</v>
      </c>
      <c r="V14" s="20">
        <f>U14/L14-1</f>
        <v>-1.0152284263959421E-2</v>
      </c>
      <c r="X14" s="134">
        <f>U14</f>
        <v>195000</v>
      </c>
      <c r="Z14" s="134">
        <v>195000</v>
      </c>
      <c r="AB14" s="219">
        <f>Z14-X14</f>
        <v>0</v>
      </c>
      <c r="AC14" s="219"/>
      <c r="AD14" s="134">
        <v>195000</v>
      </c>
      <c r="AE14" s="219"/>
      <c r="AF14" s="213"/>
      <c r="AG14" s="219"/>
      <c r="AH14" s="134">
        <v>195000</v>
      </c>
      <c r="AI14" s="219"/>
      <c r="AJ14" s="213"/>
      <c r="AK14" s="134"/>
      <c r="AL14" s="18">
        <v>194350</v>
      </c>
      <c r="AM14" s="224"/>
      <c r="AN14" s="18">
        <f>315*600</f>
        <v>189000</v>
      </c>
      <c r="AO14" s="20">
        <f>AN14/L14-1</f>
        <v>-4.0609137055837574E-2</v>
      </c>
      <c r="AP14" s="20">
        <f>AN14/AH14-1</f>
        <v>-3.0769230769230771E-2</v>
      </c>
      <c r="AQ14" s="20">
        <f>AN14/AL14-1</f>
        <v>-2.7527656290198044E-2</v>
      </c>
      <c r="BA14" s="18">
        <f>AN14+AZ14</f>
        <v>189000</v>
      </c>
      <c r="BD14" s="18">
        <f>BA14</f>
        <v>189000</v>
      </c>
      <c r="BG14" s="18">
        <f>BD14</f>
        <v>189000</v>
      </c>
      <c r="BI14" s="18">
        <v>2000</v>
      </c>
      <c r="BJ14" s="18">
        <f>BG14+BI14</f>
        <v>191000</v>
      </c>
      <c r="BL14" s="18">
        <v>191100</v>
      </c>
      <c r="BM14" s="279">
        <f>BL14/BJ14</f>
        <v>1.000523560209424</v>
      </c>
      <c r="BO14" s="207">
        <v>216500</v>
      </c>
      <c r="BP14" s="279">
        <f>BO14/BL14</f>
        <v>1.1329147043432757</v>
      </c>
      <c r="BS14" s="18">
        <f>BO14+BR14</f>
        <v>216500</v>
      </c>
      <c r="BU14" s="269">
        <v>-6500</v>
      </c>
      <c r="BV14" s="18">
        <f>BS14+BU14</f>
        <v>210000</v>
      </c>
      <c r="BY14" s="18">
        <f>BV14+BX14</f>
        <v>210000</v>
      </c>
      <c r="BZ14" s="384">
        <v>455</v>
      </c>
      <c r="CB14" s="18">
        <f>BY14+CA14</f>
        <v>210000</v>
      </c>
      <c r="CE14" s="18">
        <f t="shared" ref="CE14" si="42">CB14+CD14</f>
        <v>210000</v>
      </c>
      <c r="CG14" s="207"/>
      <c r="CH14" s="18">
        <f t="shared" ref="CH14" si="43">CE14+CG14</f>
        <v>210000</v>
      </c>
      <c r="CJ14" s="207"/>
      <c r="CK14" s="18">
        <f t="shared" ref="CK14" si="44">CH14+CJ14</f>
        <v>210000</v>
      </c>
      <c r="CM14" s="207"/>
      <c r="CN14" s="18">
        <f t="shared" ref="CN14" si="45">CK14+CM14</f>
        <v>210000</v>
      </c>
      <c r="CP14" s="18">
        <v>210840</v>
      </c>
      <c r="CR14" s="207">
        <f>333*800</f>
        <v>266400</v>
      </c>
      <c r="CS14" s="279">
        <f t="shared" si="30"/>
        <v>1.2635173591348889</v>
      </c>
    </row>
    <row r="15" spans="1:101" outlineLevel="1">
      <c r="A15" s="1" t="s">
        <v>11</v>
      </c>
      <c r="B15" s="1" t="s">
        <v>30</v>
      </c>
      <c r="C15" s="4" t="s">
        <v>31</v>
      </c>
      <c r="D15" s="8">
        <v>1000</v>
      </c>
      <c r="E15" s="31">
        <v>167</v>
      </c>
      <c r="F15" s="8">
        <v>1000</v>
      </c>
      <c r="G15" s="31">
        <v>167</v>
      </c>
      <c r="H15" s="9">
        <v>1670</v>
      </c>
      <c r="I15" s="17">
        <f t="shared" si="31"/>
        <v>1670</v>
      </c>
      <c r="J15" s="17"/>
      <c r="L15" s="134">
        <v>2000</v>
      </c>
      <c r="M15" s="20">
        <f t="shared" si="12"/>
        <v>1</v>
      </c>
      <c r="N15" s="20">
        <f t="shared" si="13"/>
        <v>0.19760479041916157</v>
      </c>
      <c r="P15" s="18">
        <f t="shared" si="32"/>
        <v>2000</v>
      </c>
      <c r="Q15" s="18">
        <f t="shared" si="33"/>
        <v>2000</v>
      </c>
      <c r="R15" s="18">
        <f t="shared" si="34"/>
        <v>2000</v>
      </c>
      <c r="S15" s="18">
        <f t="shared" si="35"/>
        <v>2000</v>
      </c>
      <c r="U15" s="134">
        <v>1000</v>
      </c>
      <c r="V15" s="20">
        <f t="shared" si="14"/>
        <v>-0.5</v>
      </c>
      <c r="X15" s="134">
        <f t="shared" si="15"/>
        <v>1000</v>
      </c>
      <c r="Z15" s="134">
        <v>1500</v>
      </c>
      <c r="AB15" s="219">
        <f t="shared" si="16"/>
        <v>500</v>
      </c>
      <c r="AC15" s="219"/>
      <c r="AD15" s="134">
        <v>1500</v>
      </c>
      <c r="AE15" s="219"/>
      <c r="AF15" s="213">
        <f t="shared" si="17"/>
        <v>0</v>
      </c>
      <c r="AG15" s="219"/>
      <c r="AH15" s="134">
        <v>1800</v>
      </c>
      <c r="AI15" s="219"/>
      <c r="AJ15" s="213">
        <f t="shared" ref="AJ15:AJ19" si="46">AH15-AD15</f>
        <v>300</v>
      </c>
      <c r="AK15" s="134"/>
      <c r="AL15" s="18">
        <v>1720</v>
      </c>
      <c r="AM15" s="224"/>
      <c r="AN15" s="18">
        <v>3000</v>
      </c>
      <c r="AO15" s="20">
        <f t="shared" si="19"/>
        <v>0.5</v>
      </c>
      <c r="AP15" s="20">
        <f t="shared" si="20"/>
        <v>0.66666666666666674</v>
      </c>
      <c r="AQ15" s="20">
        <f t="shared" si="21"/>
        <v>0.7441860465116279</v>
      </c>
      <c r="BA15" s="18">
        <f t="shared" si="22"/>
        <v>3000</v>
      </c>
      <c r="BD15" s="18">
        <f t="shared" si="23"/>
        <v>3000</v>
      </c>
      <c r="BG15" s="18">
        <f t="shared" si="24"/>
        <v>3000</v>
      </c>
      <c r="BI15" s="18">
        <v>500</v>
      </c>
      <c r="BJ15" s="18">
        <f t="shared" si="25"/>
        <v>3500</v>
      </c>
      <c r="BL15" s="18">
        <v>3250</v>
      </c>
      <c r="BM15" s="279">
        <f t="shared" si="26"/>
        <v>0.9285714285714286</v>
      </c>
      <c r="BO15" s="18">
        <v>3000</v>
      </c>
      <c r="BP15" s="279">
        <f t="shared" si="29"/>
        <v>0.92307692307692313</v>
      </c>
      <c r="BS15" s="18">
        <f t="shared" si="28"/>
        <v>3000</v>
      </c>
      <c r="BU15" s="269">
        <v>2000</v>
      </c>
      <c r="BV15" s="18">
        <f t="shared" si="4"/>
        <v>5000</v>
      </c>
      <c r="BY15" s="18">
        <f t="shared" si="36"/>
        <v>5000</v>
      </c>
      <c r="BZ15" s="384"/>
      <c r="CB15" s="18">
        <f t="shared" si="37"/>
        <v>5000</v>
      </c>
      <c r="CE15" s="18">
        <f t="shared" si="38"/>
        <v>5000</v>
      </c>
      <c r="CG15" s="207"/>
      <c r="CH15" s="18">
        <f t="shared" si="39"/>
        <v>5000</v>
      </c>
      <c r="CJ15" s="269">
        <v>-2000</v>
      </c>
      <c r="CK15" s="18">
        <f t="shared" si="40"/>
        <v>3000</v>
      </c>
      <c r="CM15" s="207"/>
      <c r="CN15" s="18">
        <f t="shared" si="41"/>
        <v>3000</v>
      </c>
      <c r="CP15" s="18">
        <v>2330</v>
      </c>
      <c r="CR15" s="207">
        <v>2500</v>
      </c>
      <c r="CS15" s="279">
        <f t="shared" si="30"/>
        <v>1.0729613733905579</v>
      </c>
    </row>
    <row r="16" spans="1:101" outlineLevel="1">
      <c r="A16" s="1" t="s">
        <v>11</v>
      </c>
      <c r="B16" s="1" t="s">
        <v>32</v>
      </c>
      <c r="C16" s="4" t="s">
        <v>33</v>
      </c>
      <c r="D16" s="8">
        <v>23500</v>
      </c>
      <c r="E16" s="31">
        <v>306.37</v>
      </c>
      <c r="F16" s="8">
        <v>23500</v>
      </c>
      <c r="G16" s="31">
        <v>306.37</v>
      </c>
      <c r="H16" s="9">
        <v>71996.19</v>
      </c>
      <c r="I16" s="17">
        <f>H16</f>
        <v>71996.19</v>
      </c>
      <c r="J16" s="17"/>
      <c r="L16" s="178">
        <v>72000</v>
      </c>
      <c r="M16" s="20">
        <f t="shared" si="12"/>
        <v>2.0638297872340425</v>
      </c>
      <c r="N16" s="20">
        <f t="shared" si="13"/>
        <v>5.291946698848804E-5</v>
      </c>
      <c r="P16" s="18">
        <f t="shared" si="32"/>
        <v>72000</v>
      </c>
      <c r="Q16" s="18">
        <f t="shared" si="33"/>
        <v>72000</v>
      </c>
      <c r="R16" s="18">
        <f t="shared" si="34"/>
        <v>72000</v>
      </c>
      <c r="S16" s="18">
        <f t="shared" si="35"/>
        <v>72000</v>
      </c>
      <c r="U16" s="134">
        <v>30000</v>
      </c>
      <c r="V16" s="20">
        <f t="shared" si="14"/>
        <v>-0.58333333333333326</v>
      </c>
      <c r="X16" s="134">
        <f t="shared" si="15"/>
        <v>30000</v>
      </c>
      <c r="Z16" s="134">
        <v>25000</v>
      </c>
      <c r="AB16" s="219">
        <f t="shared" si="16"/>
        <v>-5000</v>
      </c>
      <c r="AC16" s="219"/>
      <c r="AD16" s="134">
        <v>25000</v>
      </c>
      <c r="AE16" s="219"/>
      <c r="AF16" s="213">
        <f t="shared" si="17"/>
        <v>0</v>
      </c>
      <c r="AG16" s="219"/>
      <c r="AH16" s="134">
        <v>29500</v>
      </c>
      <c r="AI16" s="219"/>
      <c r="AJ16" s="213">
        <f t="shared" si="46"/>
        <v>4500</v>
      </c>
      <c r="AK16" s="134"/>
      <c r="AL16" s="18">
        <v>29380.38</v>
      </c>
      <c r="AM16" s="224"/>
      <c r="AN16" s="269">
        <v>30000</v>
      </c>
      <c r="AO16" s="20">
        <f t="shared" si="19"/>
        <v>-0.58333333333333326</v>
      </c>
      <c r="AP16" s="20">
        <f t="shared" si="20"/>
        <v>1.6949152542372836E-2</v>
      </c>
      <c r="AQ16" s="20">
        <f t="shared" si="21"/>
        <v>2.1089584273586537E-2</v>
      </c>
      <c r="BA16" s="18">
        <f t="shared" si="22"/>
        <v>30000</v>
      </c>
      <c r="BD16" s="18">
        <f t="shared" si="23"/>
        <v>30000</v>
      </c>
      <c r="BG16" s="18">
        <f t="shared" si="24"/>
        <v>30000</v>
      </c>
      <c r="BI16" s="18">
        <v>5000</v>
      </c>
      <c r="BJ16" s="18">
        <f t="shared" si="25"/>
        <v>35000</v>
      </c>
      <c r="BL16" s="18">
        <v>36417</v>
      </c>
      <c r="BM16" s="279">
        <f t="shared" si="26"/>
        <v>1.0404857142857142</v>
      </c>
      <c r="BO16" s="18">
        <v>38000</v>
      </c>
      <c r="BP16" s="279">
        <f t="shared" si="29"/>
        <v>1.0434687096685613</v>
      </c>
      <c r="BS16" s="18">
        <f t="shared" si="28"/>
        <v>38000</v>
      </c>
      <c r="BV16" s="18">
        <f t="shared" si="4"/>
        <v>38000</v>
      </c>
      <c r="BY16" s="18">
        <f t="shared" si="36"/>
        <v>38000</v>
      </c>
      <c r="BZ16" s="384"/>
      <c r="CB16" s="18">
        <f t="shared" si="37"/>
        <v>38000</v>
      </c>
      <c r="CD16" s="269">
        <v>3000</v>
      </c>
      <c r="CE16" s="18">
        <f t="shared" si="38"/>
        <v>41000</v>
      </c>
      <c r="CG16" s="207"/>
      <c r="CH16" s="18">
        <f t="shared" si="39"/>
        <v>41000</v>
      </c>
      <c r="CJ16" s="207"/>
      <c r="CK16" s="18">
        <f t="shared" si="40"/>
        <v>41000</v>
      </c>
      <c r="CM16" s="207"/>
      <c r="CN16" s="18">
        <f t="shared" si="41"/>
        <v>41000</v>
      </c>
      <c r="CP16" s="18">
        <v>39911.33</v>
      </c>
      <c r="CR16" s="207">
        <v>40000</v>
      </c>
      <c r="CS16" s="279">
        <f t="shared" si="30"/>
        <v>1.0022216748978297</v>
      </c>
      <c r="CW16" t="s">
        <v>470</v>
      </c>
    </row>
    <row r="17" spans="1:100" outlineLevel="1">
      <c r="A17" s="407" t="s">
        <v>11</v>
      </c>
      <c r="B17" s="407" t="s">
        <v>583</v>
      </c>
      <c r="C17" s="4" t="s">
        <v>584</v>
      </c>
      <c r="D17" s="8"/>
      <c r="E17" s="31"/>
      <c r="F17" s="8"/>
      <c r="G17" s="31"/>
      <c r="H17" s="9"/>
      <c r="I17" s="17"/>
      <c r="J17" s="17"/>
      <c r="L17" s="178"/>
      <c r="M17" s="20"/>
      <c r="N17" s="20"/>
      <c r="P17" s="18"/>
      <c r="Q17" s="18"/>
      <c r="R17" s="18"/>
      <c r="S17" s="18"/>
      <c r="V17" s="20"/>
      <c r="X17" s="134"/>
      <c r="AB17" s="219"/>
      <c r="AC17" s="219"/>
      <c r="AE17" s="219"/>
      <c r="AF17" s="213"/>
      <c r="AG17" s="219"/>
      <c r="AI17" s="219"/>
      <c r="AJ17" s="213"/>
      <c r="AK17" s="134"/>
      <c r="AM17" s="224"/>
      <c r="AN17" s="269"/>
      <c r="AO17" s="20"/>
      <c r="AP17" s="20"/>
      <c r="AQ17" s="20"/>
      <c r="BA17" s="18"/>
      <c r="BD17" s="18"/>
      <c r="BG17" s="18"/>
      <c r="BJ17" s="18"/>
      <c r="BM17" s="279"/>
      <c r="BP17" s="279"/>
      <c r="BS17" s="18"/>
      <c r="BV17" s="18"/>
      <c r="BY17" s="18"/>
      <c r="BZ17" s="384"/>
      <c r="CB17" s="18"/>
      <c r="CD17" s="269"/>
      <c r="CE17" s="18"/>
      <c r="CG17" s="207"/>
      <c r="CH17" s="18"/>
      <c r="CJ17" s="207"/>
      <c r="CK17" s="18"/>
      <c r="CM17" s="207"/>
      <c r="CN17" s="18">
        <v>0</v>
      </c>
      <c r="CP17" s="18">
        <v>28.83</v>
      </c>
      <c r="CR17" s="207"/>
      <c r="CS17" s="279"/>
    </row>
    <row r="18" spans="1:100" outlineLevel="1">
      <c r="A18" s="222" t="s">
        <v>453</v>
      </c>
      <c r="B18" s="222" t="s">
        <v>449</v>
      </c>
      <c r="C18" s="4" t="s">
        <v>450</v>
      </c>
      <c r="D18" s="8"/>
      <c r="E18" s="31"/>
      <c r="F18" s="8"/>
      <c r="G18" s="31"/>
      <c r="H18" s="9"/>
      <c r="I18" s="17"/>
      <c r="J18" s="17"/>
      <c r="L18" s="178"/>
      <c r="M18" s="20"/>
      <c r="N18" s="20"/>
      <c r="P18" s="18"/>
      <c r="Q18" s="18"/>
      <c r="R18" s="18"/>
      <c r="S18" s="18"/>
      <c r="V18" s="20"/>
      <c r="X18" s="134"/>
      <c r="AB18" s="219"/>
      <c r="AC18" s="219"/>
      <c r="AE18" s="219"/>
      <c r="AF18" s="213"/>
      <c r="AG18" s="219"/>
      <c r="AI18" s="219"/>
      <c r="AJ18" s="213"/>
      <c r="AK18" s="134"/>
      <c r="AL18" s="18">
        <v>7.86</v>
      </c>
      <c r="AM18" s="224"/>
      <c r="AN18" s="269">
        <v>0</v>
      </c>
      <c r="AO18" s="20"/>
      <c r="AP18" s="20"/>
      <c r="AQ18" s="20">
        <f t="shared" si="21"/>
        <v>-1</v>
      </c>
      <c r="BA18" s="18">
        <f t="shared" si="22"/>
        <v>0</v>
      </c>
      <c r="BD18" s="18">
        <f t="shared" si="23"/>
        <v>0</v>
      </c>
      <c r="BG18" s="18">
        <f t="shared" si="24"/>
        <v>0</v>
      </c>
      <c r="BJ18" s="18">
        <f t="shared" si="25"/>
        <v>0</v>
      </c>
      <c r="BM18" s="279"/>
      <c r="BS18" s="18">
        <f t="shared" si="28"/>
        <v>0</v>
      </c>
      <c r="BV18" s="18">
        <f t="shared" si="4"/>
        <v>0</v>
      </c>
      <c r="BY18" s="18">
        <f t="shared" si="36"/>
        <v>0</v>
      </c>
      <c r="BZ18" s="384"/>
      <c r="CB18" s="18">
        <f t="shared" si="37"/>
        <v>0</v>
      </c>
      <c r="CE18" s="18">
        <f t="shared" si="38"/>
        <v>0</v>
      </c>
      <c r="CG18" s="207"/>
      <c r="CH18" s="18">
        <f t="shared" si="39"/>
        <v>0</v>
      </c>
      <c r="CJ18" s="207"/>
      <c r="CK18" s="18">
        <f t="shared" si="40"/>
        <v>0</v>
      </c>
      <c r="CM18" s="207"/>
      <c r="CN18" s="18">
        <f t="shared" si="41"/>
        <v>0</v>
      </c>
      <c r="CR18" s="207"/>
    </row>
    <row r="19" spans="1:100" outlineLevel="1">
      <c r="A19" s="1" t="s">
        <v>11</v>
      </c>
      <c r="B19" s="1" t="s">
        <v>34</v>
      </c>
      <c r="C19" s="4" t="s">
        <v>35</v>
      </c>
      <c r="D19" s="8">
        <v>267000</v>
      </c>
      <c r="E19" s="31">
        <v>88.81</v>
      </c>
      <c r="F19" s="8">
        <v>267000</v>
      </c>
      <c r="G19" s="31">
        <v>88.81</v>
      </c>
      <c r="H19" s="9">
        <v>237112.88</v>
      </c>
      <c r="I19" s="17">
        <f t="shared" si="31"/>
        <v>237112.88</v>
      </c>
      <c r="J19" s="17"/>
      <c r="L19" s="178">
        <v>238000</v>
      </c>
      <c r="M19" s="20">
        <f>L19/F19-1</f>
        <v>-0.10861423220973787</v>
      </c>
      <c r="N19" s="20">
        <f t="shared" si="13"/>
        <v>3.7413404113686433E-3</v>
      </c>
      <c r="P19" s="18">
        <f t="shared" si="32"/>
        <v>238000</v>
      </c>
      <c r="Q19" s="18">
        <f t="shared" si="33"/>
        <v>238000</v>
      </c>
      <c r="R19" s="18">
        <f t="shared" si="34"/>
        <v>238000</v>
      </c>
      <c r="S19" s="18">
        <f t="shared" si="35"/>
        <v>238000</v>
      </c>
      <c r="U19" s="134">
        <v>262000</v>
      </c>
      <c r="V19" s="20">
        <f t="shared" si="14"/>
        <v>0.10084033613445387</v>
      </c>
      <c r="X19" s="134">
        <f t="shared" si="15"/>
        <v>262000</v>
      </c>
      <c r="Z19" s="134">
        <v>244000</v>
      </c>
      <c r="AB19" s="219">
        <f t="shared" si="16"/>
        <v>-18000</v>
      </c>
      <c r="AC19" s="219"/>
      <c r="AD19" s="134">
        <v>244000</v>
      </c>
      <c r="AE19" s="219"/>
      <c r="AF19" s="213">
        <f t="shared" si="17"/>
        <v>0</v>
      </c>
      <c r="AG19" s="219"/>
      <c r="AH19" s="134">
        <v>266000</v>
      </c>
      <c r="AI19" s="219"/>
      <c r="AJ19" s="213">
        <f t="shared" si="46"/>
        <v>22000</v>
      </c>
      <c r="AK19" s="134"/>
      <c r="AL19" s="18">
        <v>265743.53000000003</v>
      </c>
      <c r="AM19" s="224"/>
      <c r="AN19" s="269">
        <v>267000</v>
      </c>
      <c r="AO19" s="20">
        <f t="shared" si="19"/>
        <v>0.12184873949579833</v>
      </c>
      <c r="AP19" s="20">
        <f t="shared" si="20"/>
        <v>3.759398496240518E-3</v>
      </c>
      <c r="AQ19" s="20">
        <f t="shared" si="21"/>
        <v>4.7281301636956652E-3</v>
      </c>
      <c r="BA19" s="18">
        <f t="shared" si="22"/>
        <v>267000</v>
      </c>
      <c r="BD19" s="18">
        <f t="shared" si="23"/>
        <v>267000</v>
      </c>
      <c r="BG19" s="18">
        <f t="shared" si="24"/>
        <v>267000</v>
      </c>
      <c r="BI19" s="18">
        <v>0</v>
      </c>
      <c r="BJ19" s="18">
        <f t="shared" si="25"/>
        <v>267000</v>
      </c>
      <c r="BL19" s="18">
        <v>267900.49</v>
      </c>
      <c r="BM19" s="279">
        <f t="shared" si="26"/>
        <v>1.0033726217228465</v>
      </c>
      <c r="BO19" s="18">
        <v>269000</v>
      </c>
      <c r="BP19" s="279">
        <f>BO19/BL19</f>
        <v>1.0041041731577274</v>
      </c>
      <c r="BS19" s="18">
        <f t="shared" si="28"/>
        <v>269000</v>
      </c>
      <c r="BV19" s="18">
        <f t="shared" si="4"/>
        <v>269000</v>
      </c>
      <c r="BY19" s="18">
        <f t="shared" si="36"/>
        <v>269000</v>
      </c>
      <c r="BZ19" s="384"/>
      <c r="CB19" s="18">
        <f t="shared" si="37"/>
        <v>269000</v>
      </c>
      <c r="CE19" s="18">
        <f t="shared" si="38"/>
        <v>269000</v>
      </c>
      <c r="CH19" s="18">
        <f t="shared" si="39"/>
        <v>269000</v>
      </c>
      <c r="CJ19" s="269">
        <v>-9000</v>
      </c>
      <c r="CK19" s="18">
        <f t="shared" si="40"/>
        <v>260000</v>
      </c>
      <c r="CM19" s="207"/>
      <c r="CN19" s="18">
        <f t="shared" si="41"/>
        <v>260000</v>
      </c>
      <c r="CP19" s="18">
        <v>260107.79</v>
      </c>
      <c r="CR19" s="18">
        <v>260000</v>
      </c>
      <c r="CS19" s="279">
        <f>CR19/CP19</f>
        <v>0.99958559487972276</v>
      </c>
    </row>
    <row r="20" spans="1:100" ht="15.75" thickBot="1">
      <c r="A20" s="21"/>
      <c r="B20" s="21" t="s">
        <v>270</v>
      </c>
      <c r="C20" s="22" t="s">
        <v>296</v>
      </c>
      <c r="D20" s="23">
        <f>SUM(D5:D19)</f>
        <v>4575300</v>
      </c>
      <c r="E20" s="32"/>
      <c r="F20" s="23">
        <f>SUM(F5:F19)</f>
        <v>4645242.8</v>
      </c>
      <c r="G20" s="32"/>
      <c r="H20" s="24"/>
      <c r="I20" s="23">
        <f>SUM(I5:I19)</f>
        <v>4740772.2700000005</v>
      </c>
      <c r="J20" s="25"/>
      <c r="K20" s="23"/>
      <c r="L20" s="186">
        <f>SUM(L5:L19)</f>
        <v>4972000</v>
      </c>
      <c r="M20" s="26">
        <f>L20/F20-1</f>
        <v>7.0342329576400298E-2</v>
      </c>
      <c r="N20" s="26">
        <f>L20/I20-1</f>
        <v>4.8774274913652382E-2</v>
      </c>
      <c r="P20" s="23">
        <f>SUM(P5:P19)</f>
        <v>4637950</v>
      </c>
      <c r="Q20" s="23">
        <f>SUM(Q5:Q19)</f>
        <v>4470925</v>
      </c>
      <c r="R20" s="23">
        <f>SUM(R5:R19)</f>
        <v>4303900</v>
      </c>
      <c r="S20" s="23">
        <f>SUM(S5:S19)</f>
        <v>4036660</v>
      </c>
      <c r="U20" s="186">
        <f>SUM(U5:U19)</f>
        <v>4084200</v>
      </c>
      <c r="X20" s="186">
        <f>SUM(X5:X19)</f>
        <v>4084200</v>
      </c>
      <c r="Z20" s="186">
        <f>SUM(Z5:Z19)</f>
        <v>4353120</v>
      </c>
      <c r="AD20" s="186">
        <f>SUM(AD5:AD19)</f>
        <v>4416700</v>
      </c>
      <c r="AF20" s="213"/>
      <c r="AH20" s="186">
        <f>SUM(AH5:AH19)</f>
        <v>4661600</v>
      </c>
      <c r="AJ20" s="213"/>
      <c r="AL20" s="186">
        <f>SUM(AL5:AL19)</f>
        <v>4655908.6900000004</v>
      </c>
      <c r="AM20" s="225"/>
      <c r="AN20" s="186">
        <f>SUM(AN5:AN19)</f>
        <v>4104000</v>
      </c>
      <c r="AO20" s="253">
        <f>AN20/L20-1</f>
        <v>-0.17457763475462595</v>
      </c>
      <c r="AP20" s="253">
        <f>AN20/AH20-1</f>
        <v>-0.11961558263257255</v>
      </c>
      <c r="AQ20" s="253">
        <f t="shared" ref="AQ20" si="47">AN20/AL20-1</f>
        <v>-0.11853941448323391</v>
      </c>
      <c r="AZ20" s="186">
        <f>SUM(AZ5:AZ19)</f>
        <v>0</v>
      </c>
      <c r="BA20" s="186">
        <f>SUM(BA5:BA19)</f>
        <v>4104000</v>
      </c>
      <c r="BD20" s="186">
        <f>SUM(BD5:BD19)</f>
        <v>4104000</v>
      </c>
      <c r="BG20" s="186">
        <f>SUM(BG5:BG19)</f>
        <v>4104000</v>
      </c>
      <c r="BI20" s="186">
        <f>SUM(BI5:BI19)</f>
        <v>792000</v>
      </c>
      <c r="BJ20" s="186">
        <f>SUM(BJ5:BJ19)</f>
        <v>4896000</v>
      </c>
      <c r="BL20" s="186">
        <f>SUM(BL5:BL19)</f>
        <v>5079806.87</v>
      </c>
      <c r="BM20" s="286">
        <f>BL20/BJ20</f>
        <v>1.0375422528594771</v>
      </c>
      <c r="BO20" s="186">
        <f>SUM(BO5:BO19)</f>
        <v>5423700</v>
      </c>
      <c r="BP20" s="286">
        <f>BO20/BL20</f>
        <v>1.0676980717575981</v>
      </c>
      <c r="BR20" s="186">
        <f t="shared" ref="BR20:BS20" si="48">SUM(BR5:BR19)</f>
        <v>109500</v>
      </c>
      <c r="BS20" s="186">
        <f t="shared" si="48"/>
        <v>5533200</v>
      </c>
      <c r="BU20" s="186">
        <f>SUM(BU5:BU19)</f>
        <v>88300</v>
      </c>
      <c r="BV20" s="186">
        <f t="shared" ref="BV20" si="49">SUM(BV5:BV19)</f>
        <v>5621500</v>
      </c>
      <c r="BX20" s="186">
        <f>SUM(BX5:BX19)</f>
        <v>0</v>
      </c>
      <c r="BY20" s="186">
        <f t="shared" ref="BY20" si="50">SUM(BY5:BY19)</f>
        <v>5621500</v>
      </c>
      <c r="BZ20" s="384"/>
      <c r="CA20" s="393">
        <f>SUM(CA5:CA19)</f>
        <v>0</v>
      </c>
      <c r="CB20" s="186">
        <f t="shared" ref="CB20" si="51">SUM(CB5:CB19)</f>
        <v>5621500</v>
      </c>
      <c r="CD20" s="186">
        <f>SUM(CD5:CD19)</f>
        <v>51000</v>
      </c>
      <c r="CE20" s="186">
        <f t="shared" ref="CE20" si="52">SUM(CE5:CE19)</f>
        <v>5672500</v>
      </c>
      <c r="CG20" s="186">
        <f>SUM(CG5:CG19)</f>
        <v>0</v>
      </c>
      <c r="CH20" s="186">
        <f t="shared" ref="CH20" si="53">SUM(CH5:CH19)</f>
        <v>5672500</v>
      </c>
      <c r="CJ20" s="186">
        <f>SUM(CJ5:CJ19)</f>
        <v>87000</v>
      </c>
      <c r="CK20" s="186">
        <f t="shared" ref="CK20" si="54">SUM(CK5:CK19)</f>
        <v>5759500</v>
      </c>
      <c r="CM20" s="186">
        <f>SUM(CM5:CM19)</f>
        <v>0</v>
      </c>
      <c r="CN20" s="186">
        <f t="shared" ref="CN20" si="55">SUM(CN5:CN19)</f>
        <v>5759500</v>
      </c>
      <c r="CP20" s="186">
        <f>SUM(CP5:CP19)</f>
        <v>5723404.6900000004</v>
      </c>
      <c r="CR20" s="186">
        <f>SUM(CR5:CR19)</f>
        <v>6126400</v>
      </c>
      <c r="CS20" s="286">
        <f>CR20/CP20</f>
        <v>1.0704118146151917</v>
      </c>
    </row>
    <row r="21" spans="1:100" ht="15.75" outlineLevel="1" thickTop="1">
      <c r="A21" s="13"/>
      <c r="B21" s="13"/>
      <c r="C21" s="4"/>
      <c r="D21" s="18"/>
      <c r="E21" s="31"/>
      <c r="F21" s="18"/>
      <c r="G21" s="31"/>
      <c r="H21" s="9"/>
      <c r="I21" s="18"/>
      <c r="J21" s="17"/>
      <c r="M21" s="20"/>
      <c r="N21" s="20"/>
      <c r="P21" s="18"/>
      <c r="Q21" s="18"/>
      <c r="R21" s="18"/>
      <c r="S21" s="18"/>
      <c r="AF21" s="213"/>
      <c r="AJ21" s="213"/>
      <c r="BD21" s="18"/>
      <c r="BZ21" s="384"/>
    </row>
    <row r="22" spans="1:100" outlineLevel="1">
      <c r="A22" s="1" t="s">
        <v>11</v>
      </c>
      <c r="B22" s="1" t="s">
        <v>36</v>
      </c>
      <c r="C22" s="4" t="s">
        <v>37</v>
      </c>
      <c r="D22" s="8">
        <v>0</v>
      </c>
      <c r="E22" s="31">
        <v>0</v>
      </c>
      <c r="F22" s="8">
        <v>29000</v>
      </c>
      <c r="G22" s="31">
        <v>100</v>
      </c>
      <c r="H22" s="9">
        <v>29000</v>
      </c>
      <c r="I22" s="17">
        <v>29000</v>
      </c>
      <c r="J22" s="17"/>
      <c r="L22" s="134">
        <v>0</v>
      </c>
      <c r="M22" s="20">
        <f>L22/F22-1</f>
        <v>-1</v>
      </c>
      <c r="N22" s="20">
        <f>L22/I22-1</f>
        <v>-1</v>
      </c>
      <c r="P22" s="18"/>
      <c r="Q22" s="18"/>
      <c r="R22" s="18"/>
      <c r="S22" s="18"/>
      <c r="X22" s="134">
        <f>448750+31000</f>
        <v>479750</v>
      </c>
      <c r="Z22" s="134">
        <v>479750</v>
      </c>
      <c r="AB22" s="219">
        <f t="shared" ref="AB22:AB27" si="56">Z22-X22</f>
        <v>0</v>
      </c>
      <c r="AC22" s="219"/>
      <c r="AD22" s="134">
        <v>479750</v>
      </c>
      <c r="AE22" s="219"/>
      <c r="AF22" s="213"/>
      <c r="AG22" s="219"/>
      <c r="AH22" s="134">
        <v>479750</v>
      </c>
      <c r="AI22" s="219"/>
      <c r="AJ22" s="213"/>
      <c r="AL22" s="18">
        <v>479750</v>
      </c>
      <c r="AM22" s="224"/>
      <c r="AN22" s="18">
        <v>0</v>
      </c>
      <c r="AO22" s="20"/>
      <c r="AP22" s="20">
        <f t="shared" ref="AP22:AP27" si="57">AN22/AH22</f>
        <v>0</v>
      </c>
      <c r="AQ22" s="20">
        <f t="shared" ref="AQ22:AQ27" si="58">AN22/AL22</f>
        <v>0</v>
      </c>
      <c r="AZ22">
        <v>12613.07</v>
      </c>
      <c r="BA22" s="18">
        <f t="shared" ref="BA22:BA27" si="59">AN22+AZ22</f>
        <v>12613.07</v>
      </c>
      <c r="BD22" s="18">
        <f t="shared" si="23"/>
        <v>12613.07</v>
      </c>
      <c r="BF22">
        <v>49297.26</v>
      </c>
      <c r="BG22" s="224">
        <f>BD22+BF22</f>
        <v>61910.33</v>
      </c>
      <c r="BI22" s="224">
        <f>95598.24-BG22</f>
        <v>33687.910000000003</v>
      </c>
      <c r="BJ22" s="224">
        <f t="shared" ref="BJ22:BJ27" si="60">BG22+BI22</f>
        <v>95598.24</v>
      </c>
      <c r="BL22" s="18">
        <v>95598.24</v>
      </c>
      <c r="BM22" s="279">
        <f t="shared" si="26"/>
        <v>1</v>
      </c>
      <c r="BO22" s="18">
        <v>0</v>
      </c>
      <c r="BP22" s="279">
        <f t="shared" ref="BP22:BP25" si="61">BO22/BL22</f>
        <v>0</v>
      </c>
      <c r="BR22" s="18">
        <v>17926.07</v>
      </c>
      <c r="BS22" s="18">
        <f t="shared" ref="BS22:BS27" si="62">BO22+BR22</f>
        <v>17926.07</v>
      </c>
      <c r="BU22" s="269">
        <v>674</v>
      </c>
      <c r="BV22" s="18">
        <f t="shared" ref="BV22:BV27" si="63">BS22+BU22</f>
        <v>18600.07</v>
      </c>
      <c r="BY22" s="18">
        <f t="shared" ref="BY22:BY28" si="64">BV22+BX22</f>
        <v>18600.07</v>
      </c>
      <c r="BZ22" s="384">
        <v>32000</v>
      </c>
      <c r="CB22" s="18">
        <f t="shared" ref="CB22:CB28" si="65">BY22+CA22</f>
        <v>18600.07</v>
      </c>
      <c r="CD22" s="269">
        <v>41000</v>
      </c>
      <c r="CE22" s="18">
        <f t="shared" ref="CE22:CE28" si="66">CB22+CD22</f>
        <v>59600.07</v>
      </c>
      <c r="CG22" s="207"/>
      <c r="CH22" s="18">
        <f t="shared" ref="CH22:CH28" si="67">CE22+CG22</f>
        <v>59600.07</v>
      </c>
      <c r="CJ22" s="207"/>
      <c r="CK22" s="18">
        <f t="shared" ref="CK22:CK28" si="68">CH22+CJ22</f>
        <v>59600.07</v>
      </c>
      <c r="CM22" s="424">
        <v>399.92</v>
      </c>
      <c r="CN22" s="18">
        <f t="shared" ref="CN22:CN28" si="69">CK22+CM22</f>
        <v>59999.99</v>
      </c>
      <c r="CP22" s="18">
        <v>59999.92</v>
      </c>
      <c r="CR22" s="207">
        <v>38600</v>
      </c>
      <c r="CS22" s="279">
        <f>CR22/CP22</f>
        <v>0.64333419111225487</v>
      </c>
    </row>
    <row r="23" spans="1:100" outlineLevel="1">
      <c r="A23" s="1" t="s">
        <v>11</v>
      </c>
      <c r="B23" s="1" t="s">
        <v>38</v>
      </c>
      <c r="C23" s="4" t="s">
        <v>39</v>
      </c>
      <c r="D23" s="8">
        <v>76800</v>
      </c>
      <c r="E23" s="31">
        <v>83.33</v>
      </c>
      <c r="F23" s="8">
        <v>76800</v>
      </c>
      <c r="G23" s="31">
        <v>83.33</v>
      </c>
      <c r="H23" s="9">
        <v>64000</v>
      </c>
      <c r="I23" s="17">
        <v>76800</v>
      </c>
      <c r="J23" s="17"/>
      <c r="L23" s="134">
        <v>76800</v>
      </c>
      <c r="M23" s="20">
        <f>L23/F23-1</f>
        <v>0</v>
      </c>
      <c r="N23" s="20">
        <f>L23/I23-1</f>
        <v>0</v>
      </c>
      <c r="P23" s="18"/>
      <c r="Q23" s="18"/>
      <c r="R23" s="18"/>
      <c r="S23" s="18"/>
      <c r="X23" s="134">
        <v>78500</v>
      </c>
      <c r="Z23" s="134">
        <v>78500</v>
      </c>
      <c r="AB23" s="219">
        <f t="shared" si="56"/>
        <v>0</v>
      </c>
      <c r="AC23" s="219"/>
      <c r="AD23" s="134">
        <v>78500</v>
      </c>
      <c r="AE23" s="219"/>
      <c r="AF23" s="213"/>
      <c r="AG23" s="219"/>
      <c r="AH23" s="134">
        <v>78500</v>
      </c>
      <c r="AI23" s="219"/>
      <c r="AJ23" s="213"/>
      <c r="AL23" s="18">
        <v>78500</v>
      </c>
      <c r="AM23" s="224"/>
      <c r="AN23" s="18">
        <v>84000</v>
      </c>
      <c r="AO23" s="20">
        <f t="shared" ref="AO23" si="70">AN23/L23-1</f>
        <v>9.375E-2</v>
      </c>
      <c r="AP23" s="20">
        <f t="shared" ref="AP23" si="71">AN23/AH23-1</f>
        <v>7.0063694267515908E-2</v>
      </c>
      <c r="AQ23" s="20">
        <f t="shared" ref="AQ23" si="72">AN23/AL23-1</f>
        <v>7.0063694267515908E-2</v>
      </c>
      <c r="AZ23">
        <v>500</v>
      </c>
      <c r="BA23" s="18">
        <f t="shared" si="59"/>
        <v>84500</v>
      </c>
      <c r="BD23" s="18">
        <f t="shared" si="23"/>
        <v>84500</v>
      </c>
      <c r="BG23" s="18">
        <f>BD23</f>
        <v>84500</v>
      </c>
      <c r="BJ23" s="18">
        <f t="shared" si="60"/>
        <v>84500</v>
      </c>
      <c r="BL23" s="18">
        <v>84500</v>
      </c>
      <c r="BM23" s="279">
        <f t="shared" si="26"/>
        <v>1</v>
      </c>
      <c r="BO23" s="18">
        <f>6900*12</f>
        <v>82800</v>
      </c>
      <c r="BP23" s="279">
        <f t="shared" si="61"/>
        <v>0.97988165680473371</v>
      </c>
      <c r="BS23" s="18">
        <f t="shared" si="62"/>
        <v>82800</v>
      </c>
      <c r="BV23" s="18">
        <f t="shared" si="63"/>
        <v>82800</v>
      </c>
      <c r="BY23" s="18">
        <f t="shared" si="64"/>
        <v>82800</v>
      </c>
      <c r="BZ23" s="384">
        <v>-200</v>
      </c>
      <c r="CA23" s="207">
        <v>200</v>
      </c>
      <c r="CB23" s="18">
        <f t="shared" si="65"/>
        <v>83000</v>
      </c>
      <c r="CE23" s="18">
        <f t="shared" si="66"/>
        <v>83000</v>
      </c>
      <c r="CG23" s="207"/>
      <c r="CH23" s="18">
        <f t="shared" si="67"/>
        <v>83000</v>
      </c>
      <c r="CJ23" s="207"/>
      <c r="CK23" s="18">
        <f t="shared" si="68"/>
        <v>83000</v>
      </c>
      <c r="CM23" s="207"/>
      <c r="CN23" s="18">
        <f t="shared" si="69"/>
        <v>83000</v>
      </c>
      <c r="CP23" s="18">
        <v>83000</v>
      </c>
      <c r="CR23" s="207">
        <v>84700</v>
      </c>
      <c r="CS23" s="279">
        <f>CR23/CP23</f>
        <v>1.0204819277108435</v>
      </c>
    </row>
    <row r="24" spans="1:100" ht="13.5" customHeight="1" outlineLevel="1">
      <c r="A24" s="1" t="s">
        <v>11</v>
      </c>
      <c r="B24" s="1" t="s">
        <v>40</v>
      </c>
      <c r="C24" s="4" t="s">
        <v>41</v>
      </c>
      <c r="D24" s="8">
        <v>0</v>
      </c>
      <c r="E24" s="31">
        <v>0</v>
      </c>
      <c r="F24" s="8">
        <v>0</v>
      </c>
      <c r="G24" s="31">
        <v>0</v>
      </c>
      <c r="H24" s="9">
        <v>44003</v>
      </c>
      <c r="I24" s="17">
        <v>44003</v>
      </c>
      <c r="J24" s="17"/>
      <c r="L24" s="134">
        <v>0</v>
      </c>
      <c r="M24" s="20" t="e">
        <f>L24/F24-1</f>
        <v>#DIV/0!</v>
      </c>
      <c r="N24" s="20">
        <f>L24/I24-1</f>
        <v>-1</v>
      </c>
      <c r="P24" s="18"/>
      <c r="Q24" s="18"/>
      <c r="R24" s="18"/>
      <c r="S24" s="18"/>
      <c r="U24" s="134">
        <v>85500</v>
      </c>
      <c r="X24" s="134">
        <f>15065+70435</f>
        <v>85500</v>
      </c>
      <c r="Z24" s="134">
        <v>85500</v>
      </c>
      <c r="AB24" s="219">
        <f t="shared" si="56"/>
        <v>0</v>
      </c>
      <c r="AC24" s="219"/>
      <c r="AD24" s="134">
        <v>85500</v>
      </c>
      <c r="AE24" s="219"/>
      <c r="AF24" s="213"/>
      <c r="AG24" s="219"/>
      <c r="AH24" s="134">
        <v>85500</v>
      </c>
      <c r="AI24" s="219"/>
      <c r="AJ24" s="213"/>
      <c r="AL24" s="18">
        <v>78161</v>
      </c>
      <c r="AM24" s="224"/>
      <c r="AN24" s="18">
        <v>0</v>
      </c>
      <c r="AO24" s="20"/>
      <c r="AP24" s="20">
        <f t="shared" si="57"/>
        <v>0</v>
      </c>
      <c r="AQ24" s="20">
        <f t="shared" si="58"/>
        <v>0</v>
      </c>
      <c r="AZ24">
        <v>17343</v>
      </c>
      <c r="BA24" s="18">
        <f t="shared" si="59"/>
        <v>17343</v>
      </c>
      <c r="BD24" s="18">
        <f t="shared" si="23"/>
        <v>17343</v>
      </c>
      <c r="BG24" s="18">
        <f t="shared" ref="BG24:BG27" si="73">BD24</f>
        <v>17343</v>
      </c>
      <c r="BH24" s="271">
        <v>98428</v>
      </c>
      <c r="BI24" s="269">
        <v>30000</v>
      </c>
      <c r="BJ24" s="269">
        <f>BH24+BI24</f>
        <v>128428</v>
      </c>
      <c r="BK24" s="271"/>
      <c r="BL24" s="18">
        <v>127373</v>
      </c>
      <c r="BM24" s="279">
        <f t="shared" si="26"/>
        <v>0.99178528046843373</v>
      </c>
      <c r="BO24" s="18">
        <v>1145500</v>
      </c>
      <c r="BP24" s="279">
        <f t="shared" si="61"/>
        <v>8.9932717294874109</v>
      </c>
      <c r="BS24" s="18">
        <f t="shared" si="62"/>
        <v>1145500</v>
      </c>
      <c r="BV24" s="18">
        <f t="shared" si="63"/>
        <v>1145500</v>
      </c>
      <c r="BY24" s="18">
        <f t="shared" si="64"/>
        <v>1145500</v>
      </c>
      <c r="BZ24" s="384">
        <v>26048</v>
      </c>
      <c r="CA24" s="207">
        <v>-200</v>
      </c>
      <c r="CB24" s="18">
        <f t="shared" si="65"/>
        <v>1145300</v>
      </c>
      <c r="CD24" s="269">
        <v>60000</v>
      </c>
      <c r="CE24" s="18">
        <f t="shared" si="66"/>
        <v>1205300</v>
      </c>
      <c r="CG24" s="207"/>
      <c r="CH24" s="18">
        <f t="shared" si="67"/>
        <v>1205300</v>
      </c>
      <c r="CJ24" s="269">
        <v>14500</v>
      </c>
      <c r="CK24" s="18">
        <f t="shared" si="68"/>
        <v>1219800</v>
      </c>
      <c r="CM24" s="269">
        <v>-252</v>
      </c>
      <c r="CN24" s="18">
        <f t="shared" si="69"/>
        <v>1219548</v>
      </c>
      <c r="CP24" s="18">
        <v>1219548</v>
      </c>
      <c r="CR24" s="18">
        <v>0</v>
      </c>
      <c r="CS24" s="279">
        <f>CR24/CP24</f>
        <v>0</v>
      </c>
    </row>
    <row r="25" spans="1:100" outlineLevel="1">
      <c r="A25" s="1" t="s">
        <v>11</v>
      </c>
      <c r="B25" s="1" t="s">
        <v>42</v>
      </c>
      <c r="C25" s="4" t="s">
        <v>43</v>
      </c>
      <c r="D25" s="8">
        <v>0</v>
      </c>
      <c r="E25" s="31">
        <v>0</v>
      </c>
      <c r="F25" s="8">
        <v>114600</v>
      </c>
      <c r="G25" s="31">
        <v>100</v>
      </c>
      <c r="H25" s="9">
        <v>114600</v>
      </c>
      <c r="I25" s="17">
        <v>114600</v>
      </c>
      <c r="J25" s="17"/>
      <c r="L25" s="134">
        <v>0</v>
      </c>
      <c r="M25" s="20">
        <f>L25/F25-1</f>
        <v>-1</v>
      </c>
      <c r="N25" s="20">
        <f>L25/I25-1</f>
        <v>-1</v>
      </c>
      <c r="P25" s="18"/>
      <c r="Q25" s="18"/>
      <c r="R25" s="18"/>
      <c r="S25" s="18"/>
      <c r="X25" s="134">
        <v>110500</v>
      </c>
      <c r="Z25" s="134">
        <v>110500</v>
      </c>
      <c r="AB25" s="219">
        <f t="shared" si="56"/>
        <v>0</v>
      </c>
      <c r="AC25" s="219"/>
      <c r="AD25" s="134">
        <v>110500</v>
      </c>
      <c r="AE25" s="219"/>
      <c r="AF25" s="213"/>
      <c r="AG25" s="219"/>
      <c r="AH25" s="134">
        <v>110500</v>
      </c>
      <c r="AI25" s="219"/>
      <c r="AJ25" s="213"/>
      <c r="AL25" s="18">
        <v>110500</v>
      </c>
      <c r="AM25" s="224"/>
      <c r="AN25" s="18">
        <v>0</v>
      </c>
      <c r="AO25" s="20"/>
      <c r="AP25" s="20">
        <f t="shared" si="57"/>
        <v>0</v>
      </c>
      <c r="AQ25" s="20">
        <f t="shared" si="58"/>
        <v>0</v>
      </c>
      <c r="AZ25">
        <v>100000</v>
      </c>
      <c r="BA25" s="18">
        <f t="shared" si="59"/>
        <v>100000</v>
      </c>
      <c r="BD25" s="18">
        <f t="shared" si="23"/>
        <v>100000</v>
      </c>
      <c r="BG25" s="18">
        <f t="shared" si="73"/>
        <v>100000</v>
      </c>
      <c r="BJ25" s="18">
        <f t="shared" si="60"/>
        <v>100000</v>
      </c>
      <c r="BL25" s="18">
        <v>100000</v>
      </c>
      <c r="BM25" s="279">
        <f t="shared" si="26"/>
        <v>1</v>
      </c>
      <c r="BO25" s="18">
        <v>0</v>
      </c>
      <c r="BP25" s="279">
        <f t="shared" si="61"/>
        <v>0</v>
      </c>
      <c r="BR25" s="18">
        <v>14800</v>
      </c>
      <c r="BS25" s="18">
        <f t="shared" si="62"/>
        <v>14800</v>
      </c>
      <c r="BV25" s="18">
        <f t="shared" si="63"/>
        <v>14800</v>
      </c>
      <c r="BY25" s="18">
        <f t="shared" si="64"/>
        <v>14800</v>
      </c>
      <c r="BZ25" s="384"/>
      <c r="CB25" s="18">
        <f t="shared" si="65"/>
        <v>14800</v>
      </c>
      <c r="CE25" s="18">
        <f t="shared" si="66"/>
        <v>14800</v>
      </c>
      <c r="CG25" s="207"/>
      <c r="CH25" s="18">
        <f t="shared" si="67"/>
        <v>14800</v>
      </c>
      <c r="CJ25" s="207"/>
      <c r="CK25" s="18">
        <f t="shared" si="68"/>
        <v>14800</v>
      </c>
      <c r="CM25" s="207"/>
      <c r="CN25" s="18">
        <f t="shared" si="69"/>
        <v>14800</v>
      </c>
      <c r="CP25" s="18">
        <v>14800</v>
      </c>
      <c r="CR25" s="207">
        <v>0</v>
      </c>
      <c r="CS25" s="279">
        <f>CR25/CP25</f>
        <v>0</v>
      </c>
    </row>
    <row r="26" spans="1:100" outlineLevel="1">
      <c r="A26" s="1" t="s">
        <v>11</v>
      </c>
      <c r="B26" s="1" t="s">
        <v>44</v>
      </c>
      <c r="C26" s="4" t="s">
        <v>45</v>
      </c>
      <c r="D26" s="8">
        <v>803000</v>
      </c>
      <c r="E26" s="31">
        <v>100.09</v>
      </c>
      <c r="F26" s="8">
        <v>803731.54</v>
      </c>
      <c r="G26" s="31">
        <v>100</v>
      </c>
      <c r="H26" s="9">
        <v>803731.54</v>
      </c>
      <c r="I26" s="17">
        <v>803731.54</v>
      </c>
      <c r="J26" s="17"/>
      <c r="L26" s="134">
        <v>0</v>
      </c>
      <c r="M26" s="20">
        <f>L26/F26-1</f>
        <v>-1</v>
      </c>
      <c r="N26" s="20">
        <f>L26/I26-1</f>
        <v>-1</v>
      </c>
      <c r="P26" s="18"/>
      <c r="Q26" s="18"/>
      <c r="R26" s="18"/>
      <c r="S26" s="18"/>
      <c r="X26" s="134">
        <v>450000</v>
      </c>
      <c r="Z26" s="134">
        <v>450000</v>
      </c>
      <c r="AB26" s="219">
        <f t="shared" si="56"/>
        <v>0</v>
      </c>
      <c r="AC26" s="219"/>
      <c r="AD26" s="134">
        <v>450000</v>
      </c>
      <c r="AE26" s="219"/>
      <c r="AF26" s="213"/>
      <c r="AG26" s="219"/>
      <c r="AH26" s="134">
        <v>450000</v>
      </c>
      <c r="AI26" s="219"/>
      <c r="AJ26" s="213"/>
      <c r="AL26" s="18">
        <v>450000</v>
      </c>
      <c r="AM26" s="224"/>
      <c r="AN26" s="18">
        <v>0</v>
      </c>
      <c r="AO26" s="20"/>
      <c r="AP26" s="20">
        <f t="shared" si="57"/>
        <v>0</v>
      </c>
      <c r="AQ26" s="20">
        <f t="shared" si="58"/>
        <v>0</v>
      </c>
      <c r="AZ26">
        <v>81085</v>
      </c>
      <c r="BA26" s="18">
        <f t="shared" si="59"/>
        <v>81085</v>
      </c>
      <c r="BD26" s="18">
        <f t="shared" si="23"/>
        <v>81085</v>
      </c>
      <c r="BG26" s="18">
        <f t="shared" si="73"/>
        <v>81085</v>
      </c>
      <c r="BI26" s="269"/>
      <c r="BJ26" s="18"/>
      <c r="BN26" s="278"/>
      <c r="BO26" s="278"/>
      <c r="BS26" s="18">
        <f t="shared" si="62"/>
        <v>0</v>
      </c>
      <c r="BV26" s="18">
        <f t="shared" si="63"/>
        <v>0</v>
      </c>
      <c r="BY26" s="18">
        <f t="shared" si="64"/>
        <v>0</v>
      </c>
      <c r="BZ26" s="384"/>
      <c r="CB26" s="18">
        <f t="shared" si="65"/>
        <v>0</v>
      </c>
      <c r="CE26" s="18">
        <f t="shared" si="66"/>
        <v>0</v>
      </c>
      <c r="CG26" s="207"/>
      <c r="CH26" s="18">
        <f t="shared" si="67"/>
        <v>0</v>
      </c>
      <c r="CJ26" s="207"/>
      <c r="CK26" s="18">
        <f t="shared" si="68"/>
        <v>0</v>
      </c>
      <c r="CM26" s="207"/>
      <c r="CN26" s="18">
        <f t="shared" si="69"/>
        <v>0</v>
      </c>
      <c r="CR26" s="207"/>
    </row>
    <row r="27" spans="1:100" outlineLevel="1">
      <c r="A27" s="185" t="s">
        <v>11</v>
      </c>
      <c r="B27" s="185" t="s">
        <v>415</v>
      </c>
      <c r="C27" s="4" t="s">
        <v>414</v>
      </c>
      <c r="D27" s="8"/>
      <c r="E27" s="31"/>
      <c r="F27" s="8"/>
      <c r="G27" s="31"/>
      <c r="H27" s="9"/>
      <c r="I27" s="17"/>
      <c r="J27" s="17"/>
      <c r="M27" s="20"/>
      <c r="N27" s="20"/>
      <c r="P27" s="18"/>
      <c r="Q27" s="18"/>
      <c r="R27" s="18"/>
      <c r="S27" s="18"/>
      <c r="X27" s="134">
        <v>100000</v>
      </c>
      <c r="Z27" s="134">
        <v>100000</v>
      </c>
      <c r="AB27" s="219">
        <f t="shared" si="56"/>
        <v>0</v>
      </c>
      <c r="AC27" s="219"/>
      <c r="AD27" s="134">
        <v>100000</v>
      </c>
      <c r="AE27" s="219"/>
      <c r="AF27" s="213"/>
      <c r="AG27" s="219"/>
      <c r="AH27" s="134">
        <v>100000</v>
      </c>
      <c r="AI27" s="219"/>
      <c r="AJ27" s="213"/>
      <c r="AL27" s="18">
        <v>100000</v>
      </c>
      <c r="AM27" s="224"/>
      <c r="AN27" s="18">
        <v>0</v>
      </c>
      <c r="AO27" s="20"/>
      <c r="AP27" s="20">
        <f t="shared" si="57"/>
        <v>0</v>
      </c>
      <c r="AQ27" s="20">
        <f t="shared" si="58"/>
        <v>0</v>
      </c>
      <c r="BA27" s="18">
        <f t="shared" si="59"/>
        <v>0</v>
      </c>
      <c r="BD27" s="18">
        <f t="shared" si="23"/>
        <v>0</v>
      </c>
      <c r="BG27" s="18">
        <f t="shared" si="73"/>
        <v>0</v>
      </c>
      <c r="BJ27" s="18">
        <f t="shared" si="60"/>
        <v>0</v>
      </c>
      <c r="BS27" s="18">
        <f t="shared" si="62"/>
        <v>0</v>
      </c>
      <c r="BV27" s="18">
        <f t="shared" si="63"/>
        <v>0</v>
      </c>
      <c r="BY27" s="18">
        <f t="shared" si="64"/>
        <v>0</v>
      </c>
      <c r="BZ27" s="384"/>
      <c r="CB27" s="18">
        <f t="shared" si="65"/>
        <v>0</v>
      </c>
      <c r="CE27" s="18">
        <f t="shared" si="66"/>
        <v>0</v>
      </c>
      <c r="CH27" s="18">
        <f t="shared" si="67"/>
        <v>0</v>
      </c>
      <c r="CK27" s="18">
        <f t="shared" si="68"/>
        <v>0</v>
      </c>
      <c r="CN27" s="18">
        <f t="shared" si="69"/>
        <v>0</v>
      </c>
      <c r="CU27">
        <v>130000</v>
      </c>
      <c r="CV27" t="s">
        <v>599</v>
      </c>
    </row>
    <row r="28" spans="1:100" outlineLevel="1">
      <c r="A28" s="1" t="s">
        <v>11</v>
      </c>
      <c r="B28" s="380" t="s">
        <v>563</v>
      </c>
      <c r="C28" s="4" t="s">
        <v>564</v>
      </c>
      <c r="D28" s="8">
        <v>5455100</v>
      </c>
      <c r="E28" s="31">
        <v>91.76</v>
      </c>
      <c r="F28" s="8">
        <v>5669374.3399999999</v>
      </c>
      <c r="G28" s="31">
        <v>88.29</v>
      </c>
      <c r="H28" s="9">
        <v>5005574.6500000004</v>
      </c>
      <c r="I28" s="17"/>
      <c r="J28" s="17"/>
      <c r="P28" s="18"/>
      <c r="Q28" s="18"/>
      <c r="R28" s="18"/>
      <c r="S28" s="18"/>
      <c r="AF28" s="213"/>
      <c r="AJ28" s="213"/>
      <c r="BD28" s="18"/>
      <c r="BX28" s="269">
        <v>241888.89</v>
      </c>
      <c r="BY28" s="18">
        <f t="shared" si="64"/>
        <v>241888.89</v>
      </c>
      <c r="BZ28" s="384"/>
      <c r="CB28" s="18">
        <f t="shared" si="65"/>
        <v>241888.89</v>
      </c>
      <c r="CE28" s="18">
        <f t="shared" si="66"/>
        <v>241888.89</v>
      </c>
      <c r="CH28" s="18">
        <f t="shared" si="67"/>
        <v>241888.89</v>
      </c>
      <c r="CK28" s="18">
        <f t="shared" si="68"/>
        <v>241888.89</v>
      </c>
      <c r="CM28" s="269">
        <v>-241889</v>
      </c>
      <c r="CN28" s="18">
        <f t="shared" si="69"/>
        <v>-0.10999999998603016</v>
      </c>
      <c r="CR28" s="207">
        <v>241888.89</v>
      </c>
      <c r="CS28" s="279" t="e">
        <f>CR28/CP28</f>
        <v>#DIV/0!</v>
      </c>
    </row>
    <row r="29" spans="1:100" outlineLevel="1">
      <c r="A29" s="1" t="s">
        <v>47</v>
      </c>
      <c r="B29" s="4" t="s">
        <v>48</v>
      </c>
      <c r="C29" s="4" t="s">
        <v>0</v>
      </c>
      <c r="D29" s="8">
        <v>5455100</v>
      </c>
      <c r="E29" s="31">
        <v>91.76</v>
      </c>
      <c r="F29" s="8">
        <v>5669374.3399999999</v>
      </c>
      <c r="G29" s="31">
        <v>88.29</v>
      </c>
      <c r="H29" s="9">
        <v>5005574.6500000004</v>
      </c>
      <c r="I29" s="17"/>
      <c r="J29" s="17"/>
      <c r="P29" s="18"/>
      <c r="Q29" s="18"/>
      <c r="R29" s="18"/>
      <c r="S29" s="18"/>
      <c r="AF29" s="213"/>
      <c r="AJ29" s="213"/>
      <c r="BD29" s="18"/>
      <c r="BZ29" s="384"/>
    </row>
    <row r="30" spans="1:100" ht="15.75" thickBot="1">
      <c r="A30" s="27"/>
      <c r="B30" s="28" t="s">
        <v>276</v>
      </c>
      <c r="C30" s="28" t="s">
        <v>297</v>
      </c>
      <c r="D30" s="25">
        <f>SUM(D22:D26)+D77+D78</f>
        <v>929800</v>
      </c>
      <c r="E30" s="33"/>
      <c r="F30" s="25">
        <f>SUM(F22:F26)+F77+F78</f>
        <v>1074131.54</v>
      </c>
      <c r="G30" s="33"/>
      <c r="H30" s="25"/>
      <c r="I30" s="25">
        <f>SUM(I22:I26)+I77+I78</f>
        <v>2152634.54</v>
      </c>
      <c r="J30" s="25"/>
      <c r="K30" s="23"/>
      <c r="L30" s="188">
        <f>SUM(L22:L26)+L77+L78</f>
        <v>76800</v>
      </c>
      <c r="M30" s="26">
        <f>L30/F30-1</f>
        <v>-0.92850037715120071</v>
      </c>
      <c r="N30" s="26">
        <f>L30/I30-1</f>
        <v>-0.96432278746210209</v>
      </c>
      <c r="P30" s="163">
        <f>L30</f>
        <v>76800</v>
      </c>
      <c r="Q30" s="163">
        <f>P30</f>
        <v>76800</v>
      </c>
      <c r="R30" s="163">
        <f>Q30</f>
        <v>76800</v>
      </c>
      <c r="S30" s="163">
        <f>R30</f>
        <v>76800</v>
      </c>
      <c r="U30" s="187">
        <f>739000+U24</f>
        <v>824500</v>
      </c>
      <c r="X30" s="187">
        <f>SUM(X22:X29)</f>
        <v>1304250</v>
      </c>
      <c r="Z30" s="187">
        <f>SUM(Z22:Z29)</f>
        <v>1304250</v>
      </c>
      <c r="AD30" s="187">
        <f>SUM(AD22:AD29)</f>
        <v>1304250</v>
      </c>
      <c r="AF30" s="213"/>
      <c r="AH30" s="187">
        <f>SUM(AH22:AH29)</f>
        <v>1304250</v>
      </c>
      <c r="AJ30" s="213"/>
      <c r="AL30" s="187">
        <f>SUM(AL22:AL29)</f>
        <v>1296911</v>
      </c>
      <c r="AM30" s="226"/>
      <c r="AN30" s="187">
        <f>SUM(AN22:AN29)</f>
        <v>84000</v>
      </c>
      <c r="AO30" s="20">
        <f t="shared" ref="AO30" si="74">AN30/L30-1</f>
        <v>9.375E-2</v>
      </c>
      <c r="AP30" s="20">
        <f t="shared" ref="AP30" si="75">AN30/AH30-1</f>
        <v>-0.93559516963772282</v>
      </c>
      <c r="AQ30" s="20">
        <f t="shared" ref="AQ30" si="76">AN30/AL30-1</f>
        <v>-0.93523071359561294</v>
      </c>
      <c r="AZ30" s="187">
        <f>SUM(AZ22:AZ29)</f>
        <v>211541.07</v>
      </c>
      <c r="BA30" s="187">
        <f>SUM(BA22:BA29)</f>
        <v>295541.07</v>
      </c>
      <c r="BD30" s="187">
        <f>SUM(BD22:BD29)</f>
        <v>295541.07</v>
      </c>
      <c r="BF30" s="187">
        <f>SUM(BF22:BF29)</f>
        <v>49297.26</v>
      </c>
      <c r="BG30" s="187">
        <f>SUM(BG22:BG29)</f>
        <v>344838.33</v>
      </c>
      <c r="BI30" s="187">
        <f>SUM(BI22:BI29)</f>
        <v>63687.91</v>
      </c>
      <c r="BJ30" s="187">
        <f>SUM(BJ22:BJ29)</f>
        <v>408526.24</v>
      </c>
      <c r="BL30" s="188">
        <f>SUM(BL22:BL29)</f>
        <v>407471.24</v>
      </c>
      <c r="BM30" s="286">
        <f>BL30/BJ30</f>
        <v>0.99741754654486825</v>
      </c>
      <c r="BO30" s="187">
        <f>SUM(BO22:BO29)</f>
        <v>1228300</v>
      </c>
      <c r="BP30" s="286">
        <f>BO30/BL30</f>
        <v>3.0144458784379484</v>
      </c>
      <c r="BR30" s="187">
        <f t="shared" ref="BR30:BS30" si="77">SUM(BR22:BR29)</f>
        <v>32726.07</v>
      </c>
      <c r="BS30" s="187">
        <f t="shared" si="77"/>
        <v>1261026.07</v>
      </c>
      <c r="BU30" s="187">
        <f t="shared" ref="BU30:BV30" si="78">SUM(BU22:BU29)</f>
        <v>674</v>
      </c>
      <c r="BV30" s="187">
        <f t="shared" si="78"/>
        <v>1261700.07</v>
      </c>
      <c r="BX30" s="187">
        <f t="shared" ref="BX30:BY30" si="79">SUM(BX22:BX29)</f>
        <v>241888.89</v>
      </c>
      <c r="BY30" s="187">
        <f t="shared" si="79"/>
        <v>1503588.96</v>
      </c>
      <c r="BZ30" s="384"/>
      <c r="CA30" s="391">
        <f t="shared" ref="CA30:CB30" si="80">SUM(CA22:CA29)</f>
        <v>0</v>
      </c>
      <c r="CB30" s="187">
        <f t="shared" si="80"/>
        <v>1503588.96</v>
      </c>
      <c r="CD30" s="187">
        <f t="shared" ref="CD30:CE30" si="81">SUM(CD22:CD29)</f>
        <v>101000</v>
      </c>
      <c r="CE30" s="187">
        <f t="shared" si="81"/>
        <v>1604588.96</v>
      </c>
      <c r="CG30" s="187">
        <f t="shared" ref="CG30:CH30" si="82">SUM(CG22:CG29)</f>
        <v>0</v>
      </c>
      <c r="CH30" s="187">
        <f t="shared" si="82"/>
        <v>1604588.96</v>
      </c>
      <c r="CJ30" s="187">
        <f t="shared" ref="CJ30:CK30" si="83">SUM(CJ22:CJ29)</f>
        <v>14500</v>
      </c>
      <c r="CK30" s="187">
        <f t="shared" si="83"/>
        <v>1619088.96</v>
      </c>
      <c r="CM30" s="187">
        <f t="shared" ref="CM30:CN30" si="84">SUM(CM22:CM29)</f>
        <v>-241741.08</v>
      </c>
      <c r="CN30" s="187">
        <f t="shared" si="84"/>
        <v>1377347.88</v>
      </c>
      <c r="CP30" s="187">
        <f>SUM(CP22:CP29)</f>
        <v>1377347.92</v>
      </c>
      <c r="CR30" s="187">
        <f t="shared" ref="CR30" si="85">SUM(CR22:CR29)</f>
        <v>365188.89</v>
      </c>
      <c r="CS30" s="286">
        <f>CR30/CP30</f>
        <v>0.26513917413110843</v>
      </c>
    </row>
    <row r="31" spans="1:100" ht="15.75" outlineLevel="1" thickTop="1">
      <c r="A31" s="10" t="s">
        <v>0</v>
      </c>
      <c r="P31" s="18"/>
      <c r="Q31" s="18"/>
      <c r="R31" s="18"/>
      <c r="S31" s="18"/>
      <c r="AF31" s="213"/>
      <c r="AJ31" s="213"/>
      <c r="AT31" t="s">
        <v>436</v>
      </c>
      <c r="AV31">
        <v>2021</v>
      </c>
      <c r="BD31" s="18">
        <f t="shared" si="23"/>
        <v>0</v>
      </c>
      <c r="BG31" s="18">
        <f t="shared" ref="BG31:BG64" si="86">BD31</f>
        <v>0</v>
      </c>
      <c r="BJ31" s="18">
        <f t="shared" ref="BJ31:BJ64" si="87">BG31+BI31</f>
        <v>0</v>
      </c>
      <c r="BZ31" s="384"/>
    </row>
    <row r="32" spans="1:100" outlineLevel="1">
      <c r="A32" s="1" t="s">
        <v>49</v>
      </c>
      <c r="B32" s="1" t="s">
        <v>50</v>
      </c>
      <c r="C32" s="4" t="s">
        <v>51</v>
      </c>
      <c r="D32" s="8">
        <v>30000</v>
      </c>
      <c r="E32" s="31">
        <v>0</v>
      </c>
      <c r="F32" s="8">
        <v>30000</v>
      </c>
      <c r="G32" s="31">
        <v>0</v>
      </c>
      <c r="H32" s="9">
        <v>0</v>
      </c>
      <c r="I32" s="17">
        <v>29450</v>
      </c>
      <c r="J32" s="17"/>
      <c r="L32" s="134">
        <v>38000</v>
      </c>
      <c r="M32" s="20">
        <f>L32/F32-1</f>
        <v>0.26666666666666661</v>
      </c>
      <c r="N32" s="20">
        <f>L32/I32-1</f>
        <v>0.29032258064516125</v>
      </c>
      <c r="P32" s="18" t="s">
        <v>316</v>
      </c>
      <c r="Q32" s="18" t="s">
        <v>316</v>
      </c>
      <c r="R32" s="18" t="s">
        <v>316</v>
      </c>
      <c r="S32" s="18" t="s">
        <v>316</v>
      </c>
      <c r="U32" s="134">
        <v>38000</v>
      </c>
      <c r="X32" s="134">
        <v>38000</v>
      </c>
      <c r="Z32" s="134">
        <v>37020</v>
      </c>
      <c r="AB32" s="219">
        <f t="shared" ref="AB32" si="88">Z32-X32</f>
        <v>-980</v>
      </c>
      <c r="AC32" s="219"/>
      <c r="AD32" s="134">
        <v>37020</v>
      </c>
      <c r="AE32" s="219"/>
      <c r="AF32" s="213"/>
      <c r="AG32" s="219"/>
      <c r="AH32" s="134">
        <v>37020</v>
      </c>
      <c r="AI32" s="219"/>
      <c r="AJ32" s="213"/>
      <c r="AK32" t="s">
        <v>429</v>
      </c>
      <c r="AL32" s="18">
        <v>37020</v>
      </c>
      <c r="AN32" s="18">
        <v>56000</v>
      </c>
      <c r="AO32" s="20">
        <f t="shared" ref="AO32" si="89">AN32/L32-1</f>
        <v>0.47368421052631571</v>
      </c>
      <c r="AP32" s="20">
        <f t="shared" ref="AP32" si="90">AN32/AH32-1</f>
        <v>0.51269584008643987</v>
      </c>
      <c r="AQ32" s="20">
        <f t="shared" ref="AQ32" si="91">AN32/AL32-1</f>
        <v>0.51269584008643987</v>
      </c>
      <c r="AR32" t="s">
        <v>431</v>
      </c>
      <c r="AS32">
        <v>29450</v>
      </c>
      <c r="AT32" t="s">
        <v>432</v>
      </c>
      <c r="AV32" t="s">
        <v>439</v>
      </c>
      <c r="AW32">
        <v>39238</v>
      </c>
      <c r="AX32" t="s">
        <v>432</v>
      </c>
      <c r="BA32" s="18">
        <f t="shared" ref="BA32" si="92">AN32+AZ32</f>
        <v>56000</v>
      </c>
      <c r="BD32" s="18">
        <f t="shared" si="23"/>
        <v>56000</v>
      </c>
      <c r="BG32" s="18">
        <f t="shared" si="86"/>
        <v>56000</v>
      </c>
      <c r="BJ32" s="18">
        <f t="shared" si="87"/>
        <v>56000</v>
      </c>
      <c r="BL32" s="18">
        <v>48872</v>
      </c>
      <c r="BM32" s="279">
        <f t="shared" ref="BM32" si="93">BL32/BJ32</f>
        <v>0.87271428571428566</v>
      </c>
      <c r="BO32" s="207">
        <v>57800</v>
      </c>
      <c r="BP32" s="279">
        <f>BO32/BL32</f>
        <v>1.1826812899001473</v>
      </c>
      <c r="BS32" s="18">
        <f t="shared" ref="BS32" si="94">BO32+BR32</f>
        <v>57800</v>
      </c>
      <c r="BV32" s="18">
        <f t="shared" ref="BV32" si="95">BS32+BU32</f>
        <v>57800</v>
      </c>
      <c r="BY32" s="18">
        <f t="shared" ref="BY32" si="96">BV32+BX32</f>
        <v>57800</v>
      </c>
      <c r="BZ32" s="384"/>
      <c r="CB32" s="18">
        <f t="shared" ref="CB32" si="97">BY32+CA32</f>
        <v>57800</v>
      </c>
      <c r="CE32" s="18">
        <f t="shared" ref="CE32" si="98">CB32+CD32</f>
        <v>57800</v>
      </c>
      <c r="CH32" s="18">
        <f t="shared" ref="CH32" si="99">CE32+CG32</f>
        <v>57800</v>
      </c>
      <c r="CK32" s="18">
        <f t="shared" ref="CK32" si="100">CH32+CJ32</f>
        <v>57800</v>
      </c>
      <c r="CN32" s="18">
        <f t="shared" ref="CN32" si="101">CK32+CM32</f>
        <v>57800</v>
      </c>
      <c r="CP32" s="18">
        <v>50389</v>
      </c>
      <c r="CR32" s="18">
        <v>57800</v>
      </c>
      <c r="CS32" s="279">
        <f>CR32/CP32</f>
        <v>1.1470757506598663</v>
      </c>
    </row>
    <row r="33" spans="1:99" outlineLevel="1">
      <c r="A33" s="1" t="s">
        <v>49</v>
      </c>
      <c r="B33" s="4" t="s">
        <v>46</v>
      </c>
      <c r="C33" s="4" t="s">
        <v>52</v>
      </c>
      <c r="D33" s="8">
        <v>30000</v>
      </c>
      <c r="E33" s="31">
        <v>0</v>
      </c>
      <c r="F33" s="8">
        <v>30000</v>
      </c>
      <c r="G33" s="31">
        <v>0</v>
      </c>
      <c r="H33" s="9">
        <v>0</v>
      </c>
      <c r="I33" s="17"/>
      <c r="J33" s="17"/>
      <c r="P33" s="18"/>
      <c r="Q33" s="18"/>
      <c r="R33" s="18"/>
      <c r="S33" s="18"/>
      <c r="X33" s="134"/>
      <c r="AF33" s="213"/>
      <c r="AJ33" s="213"/>
      <c r="AR33" t="s">
        <v>433</v>
      </c>
      <c r="AS33">
        <v>7000</v>
      </c>
      <c r="AV33" t="s">
        <v>433</v>
      </c>
      <c r="AW33">
        <v>7000</v>
      </c>
      <c r="BD33" s="18">
        <f t="shared" si="23"/>
        <v>0</v>
      </c>
      <c r="BG33" s="18">
        <f t="shared" si="86"/>
        <v>0</v>
      </c>
      <c r="BJ33" s="18">
        <f t="shared" si="87"/>
        <v>0</v>
      </c>
      <c r="BO33" s="207"/>
      <c r="BZ33" s="384"/>
    </row>
    <row r="34" spans="1:99" outlineLevel="1">
      <c r="A34" s="1" t="s">
        <v>53</v>
      </c>
      <c r="B34" s="4" t="s">
        <v>48</v>
      </c>
      <c r="C34" s="4" t="s">
        <v>54</v>
      </c>
      <c r="D34" s="8">
        <v>30000</v>
      </c>
      <c r="E34" s="31">
        <v>0</v>
      </c>
      <c r="F34" s="8">
        <v>30000</v>
      </c>
      <c r="G34" s="31">
        <v>0</v>
      </c>
      <c r="H34" s="9">
        <v>0</v>
      </c>
      <c r="I34" s="17"/>
      <c r="J34" s="17"/>
      <c r="P34" s="18"/>
      <c r="Q34" s="18"/>
      <c r="R34" s="18"/>
      <c r="S34" s="18"/>
      <c r="X34" s="134"/>
      <c r="AF34" s="213"/>
      <c r="AJ34" s="213"/>
      <c r="AR34" t="s">
        <v>434</v>
      </c>
      <c r="AS34">
        <v>320</v>
      </c>
      <c r="AT34" t="s">
        <v>435</v>
      </c>
      <c r="AV34" t="s">
        <v>434</v>
      </c>
      <c r="AW34">
        <v>320</v>
      </c>
      <c r="AX34" t="s">
        <v>435</v>
      </c>
      <c r="BD34" s="18">
        <f t="shared" si="23"/>
        <v>0</v>
      </c>
      <c r="BG34" s="18">
        <f t="shared" si="86"/>
        <v>0</v>
      </c>
      <c r="BJ34" s="18">
        <f t="shared" si="87"/>
        <v>0</v>
      </c>
      <c r="BO34" s="207"/>
      <c r="BZ34" s="384"/>
    </row>
    <row r="35" spans="1:99" outlineLevel="1">
      <c r="A35" s="10" t="s">
        <v>0</v>
      </c>
      <c r="P35" s="18"/>
      <c r="Q35" s="18"/>
      <c r="R35" s="18"/>
      <c r="S35" s="18"/>
      <c r="X35" s="134"/>
      <c r="AF35" s="213"/>
      <c r="AJ35" s="213"/>
      <c r="AR35" t="s">
        <v>437</v>
      </c>
      <c r="AS35">
        <v>250</v>
      </c>
      <c r="AT35" t="s">
        <v>438</v>
      </c>
      <c r="AV35" t="s">
        <v>437</v>
      </c>
      <c r="AW35">
        <v>250</v>
      </c>
      <c r="AX35" t="s">
        <v>438</v>
      </c>
      <c r="BD35" s="18">
        <f t="shared" si="23"/>
        <v>0</v>
      </c>
      <c r="BG35" s="18">
        <f t="shared" si="86"/>
        <v>0</v>
      </c>
      <c r="BJ35" s="18">
        <f t="shared" si="87"/>
        <v>0</v>
      </c>
      <c r="BO35" s="207"/>
      <c r="BZ35" s="384"/>
    </row>
    <row r="36" spans="1:99" outlineLevel="1">
      <c r="A36" s="1" t="s">
        <v>55</v>
      </c>
      <c r="B36" s="1" t="s">
        <v>56</v>
      </c>
      <c r="C36" s="4" t="s">
        <v>57</v>
      </c>
      <c r="D36" s="8">
        <v>90000</v>
      </c>
      <c r="E36" s="31">
        <v>84.18</v>
      </c>
      <c r="F36" s="8">
        <v>90000</v>
      </c>
      <c r="G36" s="31">
        <v>84.18</v>
      </c>
      <c r="H36" s="9">
        <v>75759.61</v>
      </c>
      <c r="I36" s="17">
        <v>80092</v>
      </c>
      <c r="J36" s="17"/>
      <c r="L36" s="134">
        <v>90000</v>
      </c>
      <c r="M36" s="20">
        <f>L36/F36-1</f>
        <v>0</v>
      </c>
      <c r="N36" s="20">
        <f>L36/I36-1</f>
        <v>0.12370773610348107</v>
      </c>
      <c r="P36" s="18" t="s">
        <v>366</v>
      </c>
      <c r="Q36" s="18" t="s">
        <v>366</v>
      </c>
      <c r="R36" s="18" t="s">
        <v>366</v>
      </c>
      <c r="S36" s="18" t="s">
        <v>366</v>
      </c>
      <c r="U36" s="134">
        <v>78000</v>
      </c>
      <c r="X36" s="134">
        <v>78000</v>
      </c>
      <c r="Z36" s="134">
        <v>78000</v>
      </c>
      <c r="AB36" s="219">
        <f t="shared" ref="AB36" si="102">Z36-X36</f>
        <v>0</v>
      </c>
      <c r="AC36" s="219"/>
      <c r="AD36" s="134">
        <v>78000</v>
      </c>
      <c r="AE36" s="219"/>
      <c r="AF36" s="213"/>
      <c r="AG36" s="219"/>
      <c r="AH36" s="134">
        <v>78000</v>
      </c>
      <c r="AI36" s="219"/>
      <c r="AJ36" s="213"/>
      <c r="AL36" s="18">
        <v>77224.990000000005</v>
      </c>
      <c r="AN36" s="18">
        <v>32600</v>
      </c>
      <c r="AO36" s="20">
        <f t="shared" ref="AO36" si="103">AN36/L36-1</f>
        <v>-0.63777777777777778</v>
      </c>
      <c r="AP36" s="20">
        <f t="shared" ref="AP36" si="104">AN36/AH36-1</f>
        <v>-0.58205128205128198</v>
      </c>
      <c r="AQ36" s="20">
        <f t="shared" ref="AQ36" si="105">AN36/AL36-1</f>
        <v>-0.57785685695783195</v>
      </c>
      <c r="BA36" s="18">
        <f t="shared" ref="BA36" si="106">AN36+AZ36</f>
        <v>32600</v>
      </c>
      <c r="BD36" s="18">
        <f t="shared" si="23"/>
        <v>32600</v>
      </c>
      <c r="BG36" s="18">
        <f t="shared" si="86"/>
        <v>32600</v>
      </c>
      <c r="BI36" s="18">
        <v>48400</v>
      </c>
      <c r="BJ36" s="18">
        <f t="shared" si="87"/>
        <v>81000</v>
      </c>
      <c r="BL36" s="18">
        <v>80909.61</v>
      </c>
      <c r="BM36" s="279">
        <f t="shared" ref="BM36" si="107">BL36/BJ36</f>
        <v>0.99888407407407409</v>
      </c>
      <c r="BO36" s="207">
        <v>81000</v>
      </c>
      <c r="BP36" s="279">
        <f>BO36/BL36</f>
        <v>1.0011171726078028</v>
      </c>
      <c r="BR36" s="18">
        <v>19000</v>
      </c>
      <c r="BS36" s="18">
        <f t="shared" ref="BS36" si="108">BO36+BR36</f>
        <v>100000</v>
      </c>
      <c r="BV36" s="18">
        <f t="shared" ref="BV36" si="109">BS36+BU36</f>
        <v>100000</v>
      </c>
      <c r="BY36" s="18">
        <f t="shared" ref="BY36" si="110">BV36+BX36</f>
        <v>100000</v>
      </c>
      <c r="BZ36" s="384"/>
      <c r="CB36" s="18">
        <f t="shared" ref="CB36" si="111">BY36+CA36</f>
        <v>100000</v>
      </c>
      <c r="CE36" s="18">
        <f t="shared" ref="CE36" si="112">CB36+CD36</f>
        <v>100000</v>
      </c>
      <c r="CH36" s="18">
        <f t="shared" ref="CH36" si="113">CE36+CG36</f>
        <v>100000</v>
      </c>
      <c r="CK36" s="18">
        <f t="shared" ref="CK36" si="114">CH36+CJ36</f>
        <v>100000</v>
      </c>
      <c r="CN36" s="18">
        <f t="shared" ref="CN36" si="115">CK36+CM36</f>
        <v>100000</v>
      </c>
      <c r="CP36" s="18">
        <v>100626.74</v>
      </c>
      <c r="CR36" s="18">
        <v>101000</v>
      </c>
      <c r="CS36" s="279">
        <f>CR36/CP36</f>
        <v>1.0037093520072298</v>
      </c>
    </row>
    <row r="37" spans="1:99" outlineLevel="1">
      <c r="A37" s="1" t="s">
        <v>55</v>
      </c>
      <c r="B37" s="4" t="s">
        <v>46</v>
      </c>
      <c r="C37" s="4" t="s">
        <v>58</v>
      </c>
      <c r="D37" s="8">
        <v>90000</v>
      </c>
      <c r="E37" s="31">
        <v>84.18</v>
      </c>
      <c r="F37" s="8">
        <v>90000</v>
      </c>
      <c r="G37" s="31">
        <v>84.18</v>
      </c>
      <c r="H37" s="9">
        <v>75759.61</v>
      </c>
      <c r="I37" s="17"/>
      <c r="J37" s="17"/>
      <c r="P37" s="18"/>
      <c r="Q37" s="18"/>
      <c r="R37" s="18"/>
      <c r="S37" s="18"/>
      <c r="X37" s="134"/>
      <c r="AF37" s="213"/>
      <c r="AJ37" s="213"/>
      <c r="BD37" s="18">
        <f t="shared" si="23"/>
        <v>0</v>
      </c>
      <c r="BG37" s="18">
        <f t="shared" si="86"/>
        <v>0</v>
      </c>
      <c r="BJ37" s="18">
        <f t="shared" si="87"/>
        <v>0</v>
      </c>
      <c r="BO37" s="207"/>
      <c r="BZ37" s="384"/>
    </row>
    <row r="38" spans="1:99" outlineLevel="1">
      <c r="A38" s="1" t="s">
        <v>59</v>
      </c>
      <c r="B38" s="4" t="s">
        <v>48</v>
      </c>
      <c r="C38" s="4" t="s">
        <v>60</v>
      </c>
      <c r="D38" s="8">
        <v>90000</v>
      </c>
      <c r="E38" s="31">
        <v>84.18</v>
      </c>
      <c r="F38" s="8">
        <v>90000</v>
      </c>
      <c r="G38" s="31">
        <v>84.18</v>
      </c>
      <c r="H38" s="9">
        <v>75759.61</v>
      </c>
      <c r="I38" s="17"/>
      <c r="J38" s="17"/>
      <c r="P38" s="18"/>
      <c r="Q38" s="18"/>
      <c r="R38" s="18"/>
      <c r="S38" s="18"/>
      <c r="X38" s="134"/>
      <c r="AF38" s="213"/>
      <c r="AJ38" s="213"/>
      <c r="BD38" s="18">
        <f t="shared" si="23"/>
        <v>0</v>
      </c>
      <c r="BG38" s="18">
        <f t="shared" si="86"/>
        <v>0</v>
      </c>
      <c r="BJ38" s="18">
        <f t="shared" si="87"/>
        <v>0</v>
      </c>
      <c r="BO38" s="207"/>
      <c r="BZ38" s="384"/>
    </row>
    <row r="39" spans="1:99" outlineLevel="1">
      <c r="A39" s="10" t="s">
        <v>0</v>
      </c>
      <c r="P39" s="18"/>
      <c r="Q39" s="18"/>
      <c r="R39" s="18"/>
      <c r="S39" s="18"/>
      <c r="X39" s="134"/>
      <c r="AF39" s="213"/>
      <c r="AJ39" s="213"/>
      <c r="BD39" s="18">
        <f t="shared" si="23"/>
        <v>0</v>
      </c>
      <c r="BG39" s="18">
        <f t="shared" si="86"/>
        <v>0</v>
      </c>
      <c r="BJ39" s="18">
        <f t="shared" si="87"/>
        <v>0</v>
      </c>
      <c r="BO39" s="207"/>
      <c r="BZ39" s="384"/>
    </row>
    <row r="40" spans="1:99" outlineLevel="1">
      <c r="A40" s="1" t="s">
        <v>61</v>
      </c>
      <c r="B40" s="1" t="s">
        <v>62</v>
      </c>
      <c r="C40" s="4" t="s">
        <v>63</v>
      </c>
      <c r="D40" s="8">
        <v>8000</v>
      </c>
      <c r="E40" s="31">
        <v>0</v>
      </c>
      <c r="F40" s="8">
        <v>8000</v>
      </c>
      <c r="G40" s="31">
        <v>0</v>
      </c>
      <c r="H40" s="9">
        <v>0</v>
      </c>
      <c r="I40" s="17">
        <v>0</v>
      </c>
      <c r="J40" s="17"/>
      <c r="L40" s="134">
        <v>0</v>
      </c>
      <c r="M40" s="20">
        <f>L40/F40-1</f>
        <v>-1</v>
      </c>
      <c r="N40" s="20" t="e">
        <f>L40/I40-1</f>
        <v>#DIV/0!</v>
      </c>
      <c r="P40" s="18" t="s">
        <v>298</v>
      </c>
      <c r="Q40" s="18" t="s">
        <v>298</v>
      </c>
      <c r="R40" s="18" t="s">
        <v>400</v>
      </c>
      <c r="S40" s="18" t="s">
        <v>400</v>
      </c>
      <c r="U40" s="134">
        <v>0</v>
      </c>
      <c r="X40" s="134">
        <v>0</v>
      </c>
      <c r="Z40" s="134">
        <v>0</v>
      </c>
      <c r="AB40" s="219">
        <f t="shared" ref="AB40" si="116">Z40-X40</f>
        <v>0</v>
      </c>
      <c r="AC40" s="219"/>
      <c r="AD40" s="134">
        <v>0</v>
      </c>
      <c r="AE40" s="219"/>
      <c r="AF40" s="213"/>
      <c r="AG40" s="219"/>
      <c r="AH40" s="134">
        <v>0</v>
      </c>
      <c r="AI40" s="219"/>
      <c r="AJ40" s="213"/>
      <c r="BD40" s="18">
        <f t="shared" si="23"/>
        <v>0</v>
      </c>
      <c r="BG40" s="18">
        <f t="shared" si="86"/>
        <v>0</v>
      </c>
      <c r="BI40" s="18">
        <v>132000</v>
      </c>
      <c r="BJ40" s="18">
        <f t="shared" si="87"/>
        <v>132000</v>
      </c>
      <c r="BL40" s="18">
        <v>133844.6</v>
      </c>
      <c r="BM40" s="279">
        <f t="shared" ref="BM40" si="117">BL40/BJ40</f>
        <v>1.0139742424242424</v>
      </c>
      <c r="BO40" s="207">
        <v>10000</v>
      </c>
      <c r="BP40" s="279">
        <f>BO40/BL40</f>
        <v>7.4713511041909791E-2</v>
      </c>
      <c r="BS40" s="18">
        <f t="shared" ref="BS40:BS41" si="118">BO40+BR40</f>
        <v>10000</v>
      </c>
      <c r="BV40" s="18">
        <f t="shared" ref="BV40:BV41" si="119">BS40+BU40</f>
        <v>10000</v>
      </c>
      <c r="BY40" s="18">
        <f t="shared" ref="BY40:BY41" si="120">BV40+BX40</f>
        <v>10000</v>
      </c>
      <c r="BZ40" s="384"/>
      <c r="CB40" s="18">
        <f t="shared" ref="CB40:CB41" si="121">BY40+CA40</f>
        <v>10000</v>
      </c>
      <c r="CE40" s="18">
        <f t="shared" ref="CE40:CE41" si="122">CB40+CD40</f>
        <v>10000</v>
      </c>
      <c r="CH40" s="18">
        <f t="shared" ref="CH40:CH41" si="123">CE40+CG40</f>
        <v>10000</v>
      </c>
      <c r="CK40" s="18">
        <f t="shared" ref="CK40:CK41" si="124">CH40+CJ40</f>
        <v>10000</v>
      </c>
      <c r="CN40" s="18">
        <f t="shared" ref="CN40:CN41" si="125">CK40+CM40</f>
        <v>10000</v>
      </c>
      <c r="CP40" s="18">
        <v>0</v>
      </c>
      <c r="CR40" s="18">
        <v>0</v>
      </c>
      <c r="CS40" s="279" t="e">
        <f>CR40/CP40</f>
        <v>#DIV/0!</v>
      </c>
    </row>
    <row r="41" spans="1:99" outlineLevel="1">
      <c r="A41" s="346" t="s">
        <v>61</v>
      </c>
      <c r="B41" s="346" t="s">
        <v>525</v>
      </c>
      <c r="C41" s="4" t="s">
        <v>526</v>
      </c>
      <c r="D41" s="8"/>
      <c r="E41" s="31"/>
      <c r="F41" s="8"/>
      <c r="G41" s="31"/>
      <c r="H41" s="9"/>
      <c r="I41" s="17"/>
      <c r="J41" s="17"/>
      <c r="M41" s="20"/>
      <c r="N41" s="20"/>
      <c r="P41" s="18"/>
      <c r="Q41" s="18"/>
      <c r="R41" s="18"/>
      <c r="S41" s="18"/>
      <c r="X41" s="134"/>
      <c r="AB41" s="219"/>
      <c r="AC41" s="219"/>
      <c r="AE41" s="219"/>
      <c r="AF41" s="213"/>
      <c r="AG41" s="219"/>
      <c r="AI41" s="219"/>
      <c r="AJ41" s="213"/>
      <c r="BD41" s="18"/>
      <c r="BG41" s="18"/>
      <c r="BJ41" s="18"/>
      <c r="BM41" s="279"/>
      <c r="BO41" s="207">
        <v>83200</v>
      </c>
      <c r="BP41" s="279" t="e">
        <f>BO41/BL41</f>
        <v>#DIV/0!</v>
      </c>
      <c r="BS41" s="18">
        <f t="shared" si="118"/>
        <v>83200</v>
      </c>
      <c r="BV41" s="18">
        <f t="shared" si="119"/>
        <v>83200</v>
      </c>
      <c r="BY41" s="18">
        <f t="shared" si="120"/>
        <v>83200</v>
      </c>
      <c r="BZ41" s="384"/>
      <c r="CB41" s="18">
        <f t="shared" si="121"/>
        <v>83200</v>
      </c>
      <c r="CE41" s="18">
        <f t="shared" si="122"/>
        <v>83200</v>
      </c>
      <c r="CH41" s="18">
        <f t="shared" si="123"/>
        <v>83200</v>
      </c>
      <c r="CK41" s="18">
        <f t="shared" si="124"/>
        <v>83200</v>
      </c>
      <c r="CN41" s="18">
        <f t="shared" si="125"/>
        <v>83200</v>
      </c>
      <c r="CP41" s="18">
        <v>83111</v>
      </c>
      <c r="CR41" s="18">
        <v>0</v>
      </c>
      <c r="CS41" s="279">
        <f>CR41/CP41</f>
        <v>0</v>
      </c>
    </row>
    <row r="42" spans="1:99" outlineLevel="1">
      <c r="A42" s="1" t="s">
        <v>61</v>
      </c>
      <c r="B42" s="4" t="s">
        <v>46</v>
      </c>
      <c r="C42" s="4" t="s">
        <v>64</v>
      </c>
      <c r="D42" s="8">
        <v>8000</v>
      </c>
      <c r="E42" s="31">
        <v>0</v>
      </c>
      <c r="F42" s="8">
        <v>8000</v>
      </c>
      <c r="G42" s="31">
        <v>0</v>
      </c>
      <c r="H42" s="9">
        <v>0</v>
      </c>
      <c r="I42" s="17"/>
      <c r="J42" s="17"/>
      <c r="P42" s="18"/>
      <c r="Q42" s="18"/>
      <c r="R42" s="18"/>
      <c r="S42" s="18"/>
      <c r="X42" s="134"/>
      <c r="AF42" s="213"/>
      <c r="AJ42" s="213"/>
      <c r="BD42" s="18">
        <f t="shared" si="23"/>
        <v>0</v>
      </c>
      <c r="BG42" s="18">
        <f t="shared" si="86"/>
        <v>0</v>
      </c>
      <c r="BJ42" s="18">
        <f t="shared" si="87"/>
        <v>0</v>
      </c>
      <c r="BO42" s="207"/>
      <c r="BZ42" s="384"/>
    </row>
    <row r="43" spans="1:99" outlineLevel="1">
      <c r="A43" s="1" t="s">
        <v>65</v>
      </c>
      <c r="B43" s="4" t="s">
        <v>48</v>
      </c>
      <c r="C43" s="4" t="s">
        <v>66</v>
      </c>
      <c r="D43" s="8">
        <v>8000</v>
      </c>
      <c r="E43" s="31">
        <v>0</v>
      </c>
      <c r="F43" s="8">
        <v>8000</v>
      </c>
      <c r="G43" s="31">
        <v>0</v>
      </c>
      <c r="H43" s="9">
        <v>0</v>
      </c>
      <c r="I43" s="17"/>
      <c r="J43" s="17"/>
      <c r="P43" s="18"/>
      <c r="Q43" s="18"/>
      <c r="R43" s="18"/>
      <c r="S43" s="18"/>
      <c r="X43" s="134"/>
      <c r="AF43" s="213"/>
      <c r="AJ43" s="213"/>
      <c r="BD43" s="18">
        <f t="shared" si="23"/>
        <v>0</v>
      </c>
      <c r="BG43" s="18">
        <f t="shared" si="86"/>
        <v>0</v>
      </c>
      <c r="BJ43" s="18">
        <f t="shared" si="87"/>
        <v>0</v>
      </c>
      <c r="BO43" s="207"/>
      <c r="BZ43" s="384"/>
      <c r="CM43" s="207"/>
    </row>
    <row r="44" spans="1:99" outlineLevel="1">
      <c r="A44" s="10" t="s">
        <v>0</v>
      </c>
      <c r="P44" s="18"/>
      <c r="Q44" s="18"/>
      <c r="R44" s="18"/>
      <c r="S44" s="18"/>
      <c r="X44" s="134"/>
      <c r="AF44" s="213"/>
      <c r="AJ44" s="213"/>
      <c r="BD44" s="18">
        <f t="shared" si="23"/>
        <v>0</v>
      </c>
      <c r="BG44" s="18">
        <f t="shared" si="86"/>
        <v>0</v>
      </c>
      <c r="BJ44" s="18">
        <f t="shared" si="87"/>
        <v>0</v>
      </c>
      <c r="BO44" s="207"/>
      <c r="BZ44" s="384"/>
      <c r="CM44" s="207"/>
    </row>
    <row r="45" spans="1:99" outlineLevel="1">
      <c r="A45" s="1" t="s">
        <v>67</v>
      </c>
      <c r="B45" s="1" t="s">
        <v>68</v>
      </c>
      <c r="C45" s="4" t="s">
        <v>69</v>
      </c>
      <c r="D45" s="8">
        <v>35000</v>
      </c>
      <c r="E45" s="31">
        <v>76.42</v>
      </c>
      <c r="F45" s="8">
        <v>35000</v>
      </c>
      <c r="G45" s="31">
        <v>76.42</v>
      </c>
      <c r="H45" s="9">
        <v>26747</v>
      </c>
      <c r="I45" s="17">
        <f>H45/3*4</f>
        <v>35662.666666666664</v>
      </c>
      <c r="J45" s="17"/>
      <c r="L45" s="134">
        <v>36000</v>
      </c>
      <c r="M45" s="20">
        <f>L45/F45-1</f>
        <v>2.857142857142847E-2</v>
      </c>
      <c r="N45" s="20">
        <f>L45/I45-1</f>
        <v>9.4590047481961648E-3</v>
      </c>
      <c r="P45" s="18" t="s">
        <v>315</v>
      </c>
      <c r="Q45" s="18" t="s">
        <v>315</v>
      </c>
      <c r="R45" s="18" t="s">
        <v>315</v>
      </c>
      <c r="S45" s="18" t="s">
        <v>315</v>
      </c>
      <c r="U45" s="134">
        <v>47000</v>
      </c>
      <c r="X45" s="134">
        <v>47000</v>
      </c>
      <c r="Z45" s="134">
        <v>58000</v>
      </c>
      <c r="AB45" s="219">
        <f t="shared" ref="AB45" si="126">Z45-X45</f>
        <v>11000</v>
      </c>
      <c r="AC45" s="219"/>
      <c r="AD45" s="134">
        <v>58000</v>
      </c>
      <c r="AE45" s="219"/>
      <c r="AF45" s="213"/>
      <c r="AG45" s="219"/>
      <c r="AH45" s="134">
        <v>58000</v>
      </c>
      <c r="AI45" s="219"/>
      <c r="AJ45" s="213"/>
      <c r="AL45" s="18">
        <v>57242.42</v>
      </c>
      <c r="AN45" s="18">
        <v>65000</v>
      </c>
      <c r="AO45" s="20">
        <f t="shared" ref="AO45" si="127">AN45/L45-1</f>
        <v>0.80555555555555558</v>
      </c>
      <c r="AP45" s="20">
        <f t="shared" ref="AP45" si="128">AN45/AH45-1</f>
        <v>0.1206896551724137</v>
      </c>
      <c r="AQ45" s="20">
        <f t="shared" ref="AQ45" si="129">AN45/AL45-1</f>
        <v>0.13552152407253226</v>
      </c>
      <c r="BA45" s="18">
        <f t="shared" ref="BA45" si="130">AN45+AZ45</f>
        <v>65000</v>
      </c>
      <c r="BD45" s="18">
        <f t="shared" si="23"/>
        <v>65000</v>
      </c>
      <c r="BG45" s="18">
        <f t="shared" si="86"/>
        <v>65000</v>
      </c>
      <c r="BI45" s="18">
        <v>15000</v>
      </c>
      <c r="BJ45" s="18">
        <f t="shared" si="87"/>
        <v>80000</v>
      </c>
      <c r="BL45" s="18">
        <v>56969.120000000003</v>
      </c>
      <c r="BM45" s="279">
        <f t="shared" ref="BM45" si="131">BL45/BJ45</f>
        <v>0.71211400000000002</v>
      </c>
      <c r="BO45" s="207">
        <v>80000</v>
      </c>
      <c r="BP45" s="279">
        <f>BO45/BL45</f>
        <v>1.4042695411127992</v>
      </c>
      <c r="BR45" s="18">
        <v>8000</v>
      </c>
      <c r="BS45" s="18">
        <f t="shared" ref="BS45" si="132">BO45+BR45</f>
        <v>88000</v>
      </c>
      <c r="BU45" s="269">
        <v>80000</v>
      </c>
      <c r="BV45" s="18">
        <f t="shared" ref="BV45" si="133">BS45+BU45</f>
        <v>168000</v>
      </c>
      <c r="BY45" s="18">
        <f t="shared" ref="BY45" si="134">BV45+BX45</f>
        <v>168000</v>
      </c>
      <c r="BZ45" s="384"/>
      <c r="CB45" s="18">
        <f t="shared" ref="CB45" si="135">BY45+CA45</f>
        <v>168000</v>
      </c>
      <c r="CE45" s="18">
        <f t="shared" ref="CE45" si="136">CB45+CD45</f>
        <v>168000</v>
      </c>
      <c r="CH45" s="18">
        <f t="shared" ref="CH45" si="137">CE45+CG45</f>
        <v>168000</v>
      </c>
      <c r="CJ45" s="269">
        <v>16000</v>
      </c>
      <c r="CK45" s="18">
        <f t="shared" ref="CK45" si="138">CH45+CJ45</f>
        <v>184000</v>
      </c>
      <c r="CM45" s="207"/>
      <c r="CN45" s="18">
        <f t="shared" ref="CN45" si="139">CK45+CM45</f>
        <v>184000</v>
      </c>
      <c r="CP45" s="18">
        <v>184351.1</v>
      </c>
      <c r="CR45" s="18">
        <v>185000</v>
      </c>
      <c r="CS45" s="279">
        <f>CR45/CP45</f>
        <v>1.0035199139034159</v>
      </c>
      <c r="CU45" s="18"/>
    </row>
    <row r="46" spans="1:99" outlineLevel="1">
      <c r="A46" s="1" t="s">
        <v>67</v>
      </c>
      <c r="B46" s="4" t="s">
        <v>46</v>
      </c>
      <c r="C46" s="4" t="s">
        <v>70</v>
      </c>
      <c r="D46" s="8">
        <v>35000</v>
      </c>
      <c r="E46" s="31">
        <v>76.42</v>
      </c>
      <c r="F46" s="8">
        <v>35000</v>
      </c>
      <c r="G46" s="31">
        <v>76.42</v>
      </c>
      <c r="H46" s="9">
        <v>26747</v>
      </c>
      <c r="I46" s="17"/>
      <c r="J46" s="17"/>
      <c r="P46" s="18"/>
      <c r="Q46" s="18"/>
      <c r="R46" s="18"/>
      <c r="S46" s="18"/>
      <c r="X46" s="134"/>
      <c r="AF46" s="213"/>
      <c r="AJ46" s="213"/>
      <c r="BD46" s="18">
        <f t="shared" si="23"/>
        <v>0</v>
      </c>
      <c r="BG46" s="18">
        <f t="shared" si="86"/>
        <v>0</v>
      </c>
      <c r="BJ46" s="18">
        <f t="shared" si="87"/>
        <v>0</v>
      </c>
      <c r="BO46" s="207"/>
      <c r="BZ46" s="384"/>
      <c r="CM46" s="207"/>
    </row>
    <row r="47" spans="1:99" outlineLevel="1">
      <c r="A47" s="1" t="s">
        <v>71</v>
      </c>
      <c r="B47" s="4" t="s">
        <v>48</v>
      </c>
      <c r="C47" s="4" t="s">
        <v>72</v>
      </c>
      <c r="D47" s="8">
        <v>35000</v>
      </c>
      <c r="E47" s="31">
        <v>76.42</v>
      </c>
      <c r="F47" s="8">
        <v>35000</v>
      </c>
      <c r="G47" s="31">
        <v>76.42</v>
      </c>
      <c r="H47" s="9">
        <v>26747</v>
      </c>
      <c r="I47" s="17"/>
      <c r="J47" s="17"/>
      <c r="P47" s="18"/>
      <c r="Q47" s="18"/>
      <c r="R47" s="18"/>
      <c r="S47" s="18"/>
      <c r="X47" s="134"/>
      <c r="AF47" s="213"/>
      <c r="AJ47" s="213"/>
      <c r="BD47" s="18">
        <f t="shared" si="23"/>
        <v>0</v>
      </c>
      <c r="BG47" s="18">
        <f t="shared" si="86"/>
        <v>0</v>
      </c>
      <c r="BJ47" s="18">
        <f t="shared" si="87"/>
        <v>0</v>
      </c>
      <c r="BO47" s="207"/>
      <c r="BZ47" s="384"/>
      <c r="CM47" s="207"/>
    </row>
    <row r="48" spans="1:99" outlineLevel="1">
      <c r="A48" s="10" t="s">
        <v>0</v>
      </c>
      <c r="P48" s="18"/>
      <c r="Q48" s="18"/>
      <c r="R48" s="18"/>
      <c r="S48" s="18"/>
      <c r="X48" s="134"/>
      <c r="AF48" s="213"/>
      <c r="AJ48" s="213"/>
      <c r="BD48" s="18">
        <f t="shared" si="23"/>
        <v>0</v>
      </c>
      <c r="BG48" s="18">
        <f t="shared" si="86"/>
        <v>0</v>
      </c>
      <c r="BJ48" s="18">
        <f t="shared" si="87"/>
        <v>0</v>
      </c>
      <c r="BO48" s="207"/>
      <c r="BZ48" s="384"/>
    </row>
    <row r="49" spans="1:97" outlineLevel="1">
      <c r="A49" s="1" t="s">
        <v>73</v>
      </c>
      <c r="B49" s="1" t="s">
        <v>55</v>
      </c>
      <c r="C49" s="4" t="s">
        <v>74</v>
      </c>
      <c r="D49" s="8">
        <v>1000</v>
      </c>
      <c r="E49" s="31">
        <v>0</v>
      </c>
      <c r="F49" s="8">
        <v>1000</v>
      </c>
      <c r="G49" s="31">
        <v>0</v>
      </c>
      <c r="H49" s="9">
        <v>0</v>
      </c>
      <c r="I49" s="17">
        <v>0</v>
      </c>
      <c r="J49" s="17"/>
      <c r="L49" s="134">
        <v>0</v>
      </c>
      <c r="P49" s="18"/>
      <c r="Q49" s="18"/>
      <c r="R49" s="18"/>
      <c r="S49" s="18"/>
      <c r="U49" s="134">
        <v>0</v>
      </c>
      <c r="X49" s="134">
        <v>0</v>
      </c>
      <c r="Z49" s="134">
        <v>100</v>
      </c>
      <c r="AB49" s="219">
        <f t="shared" ref="AB49" si="140">Z49-X49</f>
        <v>100</v>
      </c>
      <c r="AC49" s="219"/>
      <c r="AD49" s="134">
        <v>100</v>
      </c>
      <c r="AE49" s="219"/>
      <c r="AF49" s="213"/>
      <c r="AG49" s="219"/>
      <c r="AH49" s="134">
        <v>100</v>
      </c>
      <c r="AI49" s="219"/>
      <c r="AJ49" s="213"/>
      <c r="AL49" s="18">
        <v>60</v>
      </c>
      <c r="AN49" s="18">
        <v>0</v>
      </c>
      <c r="BD49" s="18">
        <f t="shared" si="23"/>
        <v>0</v>
      </c>
      <c r="BG49" s="18">
        <f t="shared" si="86"/>
        <v>0</v>
      </c>
      <c r="BJ49" s="18">
        <f t="shared" si="87"/>
        <v>0</v>
      </c>
      <c r="BO49" s="207"/>
      <c r="BZ49" s="384"/>
    </row>
    <row r="50" spans="1:97" outlineLevel="1">
      <c r="A50" s="270" t="s">
        <v>73</v>
      </c>
      <c r="B50" s="270" t="s">
        <v>451</v>
      </c>
      <c r="C50" s="4" t="s">
        <v>452</v>
      </c>
      <c r="D50" s="8"/>
      <c r="E50" s="31"/>
      <c r="F50" s="8"/>
      <c r="G50" s="31"/>
      <c r="H50" s="9"/>
      <c r="I50" s="17"/>
      <c r="J50" s="17"/>
      <c r="P50" s="18"/>
      <c r="Q50" s="18"/>
      <c r="R50" s="18"/>
      <c r="S50" s="18"/>
      <c r="X50" s="134"/>
      <c r="AB50" s="219"/>
      <c r="AC50" s="219"/>
      <c r="AE50" s="219"/>
      <c r="AF50" s="213"/>
      <c r="AG50" s="219"/>
      <c r="AI50" s="219"/>
      <c r="AJ50" s="213"/>
      <c r="BD50" s="18"/>
      <c r="BG50" s="18"/>
      <c r="BI50" s="18">
        <v>3000</v>
      </c>
      <c r="BJ50" s="18">
        <f t="shared" si="87"/>
        <v>3000</v>
      </c>
      <c r="BL50" s="18">
        <v>3000</v>
      </c>
      <c r="BM50" s="279">
        <f t="shared" ref="BM50" si="141">BL50/BJ50</f>
        <v>1</v>
      </c>
      <c r="BO50" s="207">
        <v>150000</v>
      </c>
      <c r="BP50" s="279">
        <f>BO50/BL50</f>
        <v>50</v>
      </c>
      <c r="BS50" s="18">
        <f t="shared" ref="BS50" si="142">BO50+BR50</f>
        <v>150000</v>
      </c>
      <c r="BV50" s="18">
        <f t="shared" ref="BV50" si="143">BS50+BU50</f>
        <v>150000</v>
      </c>
      <c r="BY50" s="18">
        <f t="shared" ref="BY50" si="144">BV50+BX50</f>
        <v>150000</v>
      </c>
      <c r="BZ50" s="384"/>
      <c r="CB50" s="18">
        <f t="shared" ref="CB50" si="145">BY50+CA50</f>
        <v>150000</v>
      </c>
      <c r="CE50" s="18">
        <f t="shared" ref="CE50" si="146">CB50+CD50</f>
        <v>150000</v>
      </c>
      <c r="CH50" s="18">
        <f t="shared" ref="CH50" si="147">CE50+CG50</f>
        <v>150000</v>
      </c>
      <c r="CK50" s="18">
        <f t="shared" ref="CK50" si="148">CH50+CJ50</f>
        <v>150000</v>
      </c>
      <c r="CN50" s="18">
        <f t="shared" ref="CN50" si="149">CK50+CM50</f>
        <v>150000</v>
      </c>
      <c r="CP50" s="18">
        <v>0</v>
      </c>
      <c r="CR50" s="18">
        <v>150000</v>
      </c>
      <c r="CS50" s="279" t="e">
        <f>CR50/CP50</f>
        <v>#DIV/0!</v>
      </c>
    </row>
    <row r="51" spans="1:97" outlineLevel="1">
      <c r="A51" s="1" t="s">
        <v>73</v>
      </c>
      <c r="B51" s="4" t="s">
        <v>46</v>
      </c>
      <c r="C51" s="4" t="s">
        <v>75</v>
      </c>
      <c r="D51" s="8">
        <v>1000</v>
      </c>
      <c r="E51" s="31">
        <v>0</v>
      </c>
      <c r="F51" s="8">
        <v>1000</v>
      </c>
      <c r="G51" s="31">
        <v>0</v>
      </c>
      <c r="H51" s="9">
        <v>0</v>
      </c>
      <c r="I51" s="17"/>
      <c r="J51" s="17"/>
      <c r="P51" s="18"/>
      <c r="Q51" s="18"/>
      <c r="R51" s="18"/>
      <c r="S51" s="18"/>
      <c r="X51" s="134"/>
      <c r="AF51" s="213"/>
      <c r="AJ51" s="213"/>
      <c r="BD51" s="18">
        <f t="shared" si="23"/>
        <v>0</v>
      </c>
      <c r="BG51" s="18">
        <f t="shared" si="86"/>
        <v>0</v>
      </c>
      <c r="BJ51" s="18">
        <f t="shared" si="87"/>
        <v>0</v>
      </c>
      <c r="BO51" s="207"/>
      <c r="BZ51" s="384"/>
    </row>
    <row r="52" spans="1:97" outlineLevel="1">
      <c r="A52" s="1" t="s">
        <v>76</v>
      </c>
      <c r="B52" s="4" t="s">
        <v>48</v>
      </c>
      <c r="C52" s="4" t="s">
        <v>77</v>
      </c>
      <c r="D52" s="8">
        <v>1000</v>
      </c>
      <c r="E52" s="31">
        <v>0</v>
      </c>
      <c r="F52" s="8">
        <v>1000</v>
      </c>
      <c r="G52" s="31">
        <v>0</v>
      </c>
      <c r="H52" s="9">
        <v>0</v>
      </c>
      <c r="I52" s="17"/>
      <c r="J52" s="17"/>
      <c r="P52" s="18"/>
      <c r="Q52" s="18"/>
      <c r="R52" s="18"/>
      <c r="S52" s="18"/>
      <c r="X52" s="134"/>
      <c r="AF52" s="213"/>
      <c r="AJ52" s="213"/>
      <c r="BD52" s="18">
        <f t="shared" si="23"/>
        <v>0</v>
      </c>
      <c r="BG52" s="18">
        <f t="shared" si="86"/>
        <v>0</v>
      </c>
      <c r="BJ52" s="18">
        <f t="shared" si="87"/>
        <v>0</v>
      </c>
      <c r="BO52" s="207"/>
      <c r="BZ52" s="384"/>
    </row>
    <row r="53" spans="1:97" outlineLevel="1">
      <c r="A53" s="16"/>
      <c r="B53" s="10"/>
      <c r="C53" s="10"/>
      <c r="D53" s="17"/>
      <c r="E53" s="200"/>
      <c r="F53" s="17"/>
      <c r="G53" s="200"/>
      <c r="H53" s="17"/>
      <c r="I53" s="17"/>
      <c r="J53" s="17"/>
      <c r="P53" s="18"/>
      <c r="Q53" s="18"/>
      <c r="R53" s="18"/>
      <c r="S53" s="18"/>
      <c r="X53" s="134"/>
      <c r="AF53" s="213"/>
      <c r="AJ53" s="213"/>
      <c r="BD53" s="18">
        <f t="shared" si="23"/>
        <v>0</v>
      </c>
      <c r="BG53" s="18">
        <f t="shared" si="86"/>
        <v>0</v>
      </c>
      <c r="BJ53" s="18">
        <f t="shared" si="87"/>
        <v>0</v>
      </c>
      <c r="BO53" s="207"/>
      <c r="BZ53" s="384"/>
    </row>
    <row r="54" spans="1:97" outlineLevel="1">
      <c r="A54" s="16" t="s">
        <v>203</v>
      </c>
      <c r="B54" s="10" t="s">
        <v>55</v>
      </c>
      <c r="C54" s="10" t="s">
        <v>419</v>
      </c>
      <c r="D54" s="17"/>
      <c r="E54" s="200"/>
      <c r="F54" s="17"/>
      <c r="G54" s="200"/>
      <c r="H54" s="17"/>
      <c r="I54" s="17"/>
      <c r="J54" s="17"/>
      <c r="P54" s="18"/>
      <c r="Q54" s="18"/>
      <c r="R54" s="18"/>
      <c r="S54" s="18"/>
      <c r="X54" s="134"/>
      <c r="Z54" s="134">
        <v>2000</v>
      </c>
      <c r="AB54" s="219">
        <f t="shared" ref="AB54:AB55" si="150">Z54-X54</f>
        <v>2000</v>
      </c>
      <c r="AC54" s="219"/>
      <c r="AD54" s="134">
        <v>2000</v>
      </c>
      <c r="AE54" s="219"/>
      <c r="AF54" s="213">
        <f t="shared" ref="AF54" si="151">AD54-Z54</f>
        <v>0</v>
      </c>
      <c r="AG54" s="219"/>
      <c r="AH54" s="134">
        <v>2000</v>
      </c>
      <c r="AI54" s="219"/>
      <c r="AJ54" s="213">
        <f t="shared" ref="AJ54" si="152">AH54-AD54</f>
        <v>0</v>
      </c>
      <c r="AK54" t="s">
        <v>421</v>
      </c>
      <c r="AL54" s="18">
        <v>2000</v>
      </c>
      <c r="AN54" s="18">
        <v>0</v>
      </c>
      <c r="AO54" s="20"/>
      <c r="AP54" s="20">
        <f t="shared" ref="AP54:AP55" si="153">AN54/AH54</f>
        <v>0</v>
      </c>
      <c r="AQ54" s="20">
        <f t="shared" ref="AQ54:AQ55" si="154">AN54/AL54</f>
        <v>0</v>
      </c>
      <c r="BA54" s="18">
        <f t="shared" ref="BA54:BA55" si="155">AN54+AZ54</f>
        <v>0</v>
      </c>
      <c r="BD54" s="18">
        <f t="shared" si="23"/>
        <v>0</v>
      </c>
      <c r="BG54" s="18">
        <f t="shared" si="86"/>
        <v>0</v>
      </c>
      <c r="BJ54" s="18">
        <f t="shared" si="87"/>
        <v>0</v>
      </c>
      <c r="BO54" s="207"/>
      <c r="BZ54" s="384"/>
    </row>
    <row r="55" spans="1:97" outlineLevel="1">
      <c r="A55" s="16" t="s">
        <v>203</v>
      </c>
      <c r="B55" s="10" t="s">
        <v>139</v>
      </c>
      <c r="C55" s="10" t="s">
        <v>420</v>
      </c>
      <c r="D55" s="17"/>
      <c r="E55" s="200"/>
      <c r="F55" s="17"/>
      <c r="G55" s="200"/>
      <c r="H55" s="17"/>
      <c r="I55" s="17"/>
      <c r="J55" s="17"/>
      <c r="P55" s="18"/>
      <c r="Q55" s="18"/>
      <c r="R55" s="18"/>
      <c r="S55" s="18"/>
      <c r="X55" s="134"/>
      <c r="Z55" s="134">
        <v>26990</v>
      </c>
      <c r="AB55" s="219">
        <f t="shared" si="150"/>
        <v>26990</v>
      </c>
      <c r="AC55" s="219"/>
      <c r="AD55" s="134">
        <v>26990</v>
      </c>
      <c r="AE55" s="219"/>
      <c r="AF55" s="213"/>
      <c r="AG55" s="219"/>
      <c r="AH55" s="134">
        <v>26990</v>
      </c>
      <c r="AI55" s="219"/>
      <c r="AJ55" s="213"/>
      <c r="AK55" t="s">
        <v>422</v>
      </c>
      <c r="AL55" s="18">
        <v>26990</v>
      </c>
      <c r="AN55" s="18">
        <v>0</v>
      </c>
      <c r="AO55" s="20"/>
      <c r="AP55" s="20">
        <f t="shared" si="153"/>
        <v>0</v>
      </c>
      <c r="AQ55" s="20">
        <f t="shared" si="154"/>
        <v>0</v>
      </c>
      <c r="BA55" s="18">
        <f t="shared" si="155"/>
        <v>0</v>
      </c>
      <c r="BD55" s="18">
        <f t="shared" si="23"/>
        <v>0</v>
      </c>
      <c r="BG55" s="18">
        <f t="shared" si="86"/>
        <v>0</v>
      </c>
      <c r="BJ55" s="18">
        <f t="shared" si="87"/>
        <v>0</v>
      </c>
      <c r="BO55" s="207"/>
      <c r="BZ55" s="384"/>
    </row>
    <row r="56" spans="1:97" outlineLevel="1">
      <c r="A56" s="10" t="s">
        <v>0</v>
      </c>
      <c r="P56" s="18"/>
      <c r="Q56" s="18"/>
      <c r="R56" s="18"/>
      <c r="S56" s="18"/>
      <c r="X56" s="134"/>
      <c r="AF56" s="213"/>
      <c r="AJ56" s="213"/>
      <c r="BD56" s="18">
        <f t="shared" si="23"/>
        <v>0</v>
      </c>
      <c r="BG56" s="18">
        <f t="shared" si="86"/>
        <v>0</v>
      </c>
      <c r="BJ56" s="18">
        <f t="shared" si="87"/>
        <v>0</v>
      </c>
      <c r="BO56" s="207"/>
      <c r="BZ56" s="384"/>
    </row>
    <row r="57" spans="1:97" outlineLevel="1">
      <c r="A57" s="1" t="s">
        <v>78</v>
      </c>
      <c r="B57" s="1" t="s">
        <v>79</v>
      </c>
      <c r="C57" s="4" t="s">
        <v>80</v>
      </c>
      <c r="D57" s="8">
        <v>200</v>
      </c>
      <c r="E57" s="31">
        <v>720</v>
      </c>
      <c r="F57" s="8">
        <v>200</v>
      </c>
      <c r="G57" s="31">
        <v>720</v>
      </c>
      <c r="H57" s="9">
        <v>1440</v>
      </c>
      <c r="I57" s="17">
        <v>1440</v>
      </c>
      <c r="J57" s="17"/>
      <c r="L57" s="134">
        <v>1500</v>
      </c>
      <c r="M57" s="20">
        <f t="shared" ref="M57:M64" si="156">L57/F57-1</f>
        <v>6.5</v>
      </c>
      <c r="N57" s="20">
        <f t="shared" ref="N57:N64" si="157">L57/I57-1</f>
        <v>4.1666666666666741E-2</v>
      </c>
      <c r="P57" s="18" t="s">
        <v>314</v>
      </c>
      <c r="Q57" s="18" t="s">
        <v>314</v>
      </c>
      <c r="R57" s="18" t="s">
        <v>314</v>
      </c>
      <c r="S57" s="18" t="s">
        <v>314</v>
      </c>
      <c r="U57" s="134">
        <v>2000</v>
      </c>
      <c r="X57" s="134">
        <v>2000</v>
      </c>
      <c r="Z57" s="134">
        <v>3500</v>
      </c>
      <c r="AB57" s="219">
        <f t="shared" ref="AB57:AB64" si="158">Z57-X57</f>
        <v>1500</v>
      </c>
      <c r="AC57" s="219"/>
      <c r="AD57" s="134">
        <v>3500</v>
      </c>
      <c r="AE57" s="219"/>
      <c r="AF57" s="213"/>
      <c r="AG57" s="219"/>
      <c r="AH57" s="134">
        <v>3500</v>
      </c>
      <c r="AI57" s="219"/>
      <c r="AJ57" s="213"/>
      <c r="AL57" s="18">
        <v>3193</v>
      </c>
      <c r="AN57" s="18">
        <v>3000</v>
      </c>
      <c r="AO57" s="20">
        <f t="shared" ref="AO57:AO66" si="159">AN57/L57-1</f>
        <v>1</v>
      </c>
      <c r="AP57" s="20">
        <f t="shared" ref="AP57:AP66" si="160">AN57/AH57-1</f>
        <v>-0.1428571428571429</v>
      </c>
      <c r="AQ57" s="20">
        <f t="shared" ref="AQ57:AQ66" si="161">AN57/AL57-1</f>
        <v>-6.0444722831193287E-2</v>
      </c>
      <c r="BA57" s="18">
        <f t="shared" ref="BA57:BA64" si="162">AN57+AZ57</f>
        <v>3000</v>
      </c>
      <c r="BD57" s="18">
        <f t="shared" si="23"/>
        <v>3000</v>
      </c>
      <c r="BG57" s="18">
        <f t="shared" si="86"/>
        <v>3000</v>
      </c>
      <c r="BI57" s="18">
        <v>400</v>
      </c>
      <c r="BJ57" s="18">
        <f t="shared" si="87"/>
        <v>3400</v>
      </c>
      <c r="BL57" s="18">
        <v>4235</v>
      </c>
      <c r="BM57" s="279">
        <f t="shared" ref="BM57:BM64" si="163">BL57/BJ57</f>
        <v>1.2455882352941177</v>
      </c>
      <c r="BO57" s="207">
        <v>3000</v>
      </c>
      <c r="BP57" s="279">
        <f t="shared" ref="BP57:BP64" si="164">BO57/BL57</f>
        <v>0.70838252656434475</v>
      </c>
      <c r="BS57" s="18">
        <f t="shared" ref="BS57:BS64" si="165">BO57+BR57</f>
        <v>3000</v>
      </c>
      <c r="BV57" s="18">
        <f t="shared" ref="BV57:BV64" si="166">BS57+BU57</f>
        <v>3000</v>
      </c>
      <c r="BY57" s="18">
        <f t="shared" ref="BY57:BY64" si="167">BV57+BX57</f>
        <v>3000</v>
      </c>
      <c r="BZ57" s="384"/>
      <c r="CB57" s="18">
        <f t="shared" ref="CB57:CB64" si="168">BY57+CA57</f>
        <v>3000</v>
      </c>
      <c r="CE57" s="18">
        <f t="shared" ref="CE57:CE64" si="169">CB57+CD57</f>
        <v>3000</v>
      </c>
      <c r="CH57" s="18">
        <f t="shared" ref="CH57:CH64" si="170">CE57+CG57</f>
        <v>3000</v>
      </c>
      <c r="CK57" s="18">
        <f t="shared" ref="CK57:CK64" si="171">CH57+CJ57</f>
        <v>3000</v>
      </c>
      <c r="CN57" s="18">
        <f t="shared" ref="CN57:CN64" si="172">CK57+CM57</f>
        <v>3000</v>
      </c>
      <c r="CP57" s="18">
        <v>2178</v>
      </c>
      <c r="CR57" s="18">
        <v>2000</v>
      </c>
      <c r="CS57" s="279">
        <f t="shared" ref="CS57:CS63" si="173">CR57/CP57</f>
        <v>0.91827364554637281</v>
      </c>
    </row>
    <row r="58" spans="1:97" outlineLevel="1">
      <c r="A58" s="1" t="s">
        <v>78</v>
      </c>
      <c r="B58" s="1" t="s">
        <v>81</v>
      </c>
      <c r="C58" s="4" t="s">
        <v>82</v>
      </c>
      <c r="D58" s="8">
        <v>4200</v>
      </c>
      <c r="E58" s="31">
        <v>49.26</v>
      </c>
      <c r="F58" s="8">
        <v>4200</v>
      </c>
      <c r="G58" s="31">
        <v>49.26</v>
      </c>
      <c r="H58" s="9">
        <v>2069</v>
      </c>
      <c r="I58" s="17">
        <v>2800</v>
      </c>
      <c r="J58" s="17"/>
      <c r="L58" s="134">
        <v>3000</v>
      </c>
      <c r="M58" s="20">
        <f t="shared" si="156"/>
        <v>-0.2857142857142857</v>
      </c>
      <c r="N58" s="20">
        <f t="shared" si="157"/>
        <v>7.1428571428571397E-2</v>
      </c>
      <c r="P58" s="18"/>
      <c r="Q58" s="18"/>
      <c r="R58" s="18"/>
      <c r="S58" s="18"/>
      <c r="U58" s="134">
        <v>700</v>
      </c>
      <c r="X58" s="134">
        <v>700</v>
      </c>
      <c r="Z58" s="134">
        <v>700</v>
      </c>
      <c r="AB58" s="219">
        <f t="shared" si="158"/>
        <v>0</v>
      </c>
      <c r="AC58" s="219"/>
      <c r="AD58" s="134">
        <v>700</v>
      </c>
      <c r="AE58" s="219"/>
      <c r="AF58" s="213"/>
      <c r="AG58" s="219"/>
      <c r="AH58" s="134">
        <v>700</v>
      </c>
      <c r="AI58" s="219"/>
      <c r="AJ58" s="213"/>
      <c r="AL58" s="18">
        <v>700</v>
      </c>
      <c r="AN58" s="18">
        <v>500</v>
      </c>
      <c r="AO58" s="20">
        <f t="shared" si="159"/>
        <v>-0.83333333333333337</v>
      </c>
      <c r="AP58" s="20">
        <f t="shared" si="160"/>
        <v>-0.2857142857142857</v>
      </c>
      <c r="AQ58" s="20">
        <f t="shared" si="161"/>
        <v>-0.2857142857142857</v>
      </c>
      <c r="BA58" s="18">
        <f t="shared" si="162"/>
        <v>500</v>
      </c>
      <c r="BD58" s="18">
        <f t="shared" si="23"/>
        <v>500</v>
      </c>
      <c r="BG58" s="18">
        <f t="shared" si="86"/>
        <v>500</v>
      </c>
      <c r="BJ58" s="18">
        <f t="shared" si="87"/>
        <v>500</v>
      </c>
      <c r="BL58" s="18">
        <v>0</v>
      </c>
      <c r="BM58" s="279">
        <f t="shared" si="163"/>
        <v>0</v>
      </c>
      <c r="BO58" s="207">
        <v>0</v>
      </c>
      <c r="BP58" s="279" t="e">
        <f t="shared" si="164"/>
        <v>#DIV/0!</v>
      </c>
      <c r="BS58" s="18">
        <f t="shared" si="165"/>
        <v>0</v>
      </c>
      <c r="BV58" s="18">
        <f t="shared" si="166"/>
        <v>0</v>
      </c>
      <c r="BY58" s="18">
        <f t="shared" si="167"/>
        <v>0</v>
      </c>
      <c r="BZ58" s="384"/>
      <c r="CB58" s="18">
        <f t="shared" si="168"/>
        <v>0</v>
      </c>
      <c r="CE58" s="18">
        <f t="shared" si="169"/>
        <v>0</v>
      </c>
      <c r="CH58" s="18">
        <f t="shared" si="170"/>
        <v>0</v>
      </c>
      <c r="CK58" s="18">
        <f t="shared" si="171"/>
        <v>0</v>
      </c>
      <c r="CM58" s="207"/>
      <c r="CN58" s="18">
        <f t="shared" si="172"/>
        <v>0</v>
      </c>
      <c r="CP58" s="18">
        <v>0</v>
      </c>
      <c r="CS58" s="279" t="e">
        <f t="shared" si="173"/>
        <v>#DIV/0!</v>
      </c>
    </row>
    <row r="59" spans="1:97" outlineLevel="1">
      <c r="A59" s="1" t="s">
        <v>78</v>
      </c>
      <c r="B59" s="1" t="s">
        <v>55</v>
      </c>
      <c r="C59" s="4" t="s">
        <v>74</v>
      </c>
      <c r="D59" s="8">
        <v>700</v>
      </c>
      <c r="E59" s="31">
        <v>199.43</v>
      </c>
      <c r="F59" s="8">
        <v>2200</v>
      </c>
      <c r="G59" s="31">
        <v>63.45</v>
      </c>
      <c r="H59" s="9">
        <v>1396</v>
      </c>
      <c r="I59" s="17">
        <v>1396</v>
      </c>
      <c r="J59" s="17"/>
      <c r="L59" s="134">
        <v>1000</v>
      </c>
      <c r="M59" s="20">
        <f t="shared" si="156"/>
        <v>-0.54545454545454541</v>
      </c>
      <c r="N59" s="20">
        <f t="shared" si="157"/>
        <v>-0.28366762177650429</v>
      </c>
      <c r="P59" s="18"/>
      <c r="Q59" s="18"/>
      <c r="R59" s="18"/>
      <c r="S59" s="18"/>
      <c r="U59" s="134">
        <v>7600</v>
      </c>
      <c r="X59" s="134">
        <v>7600</v>
      </c>
      <c r="Z59" s="134">
        <v>13900</v>
      </c>
      <c r="AB59" s="219">
        <f t="shared" si="158"/>
        <v>6300</v>
      </c>
      <c r="AC59" s="219"/>
      <c r="AD59" s="134">
        <v>13900</v>
      </c>
      <c r="AE59" s="219"/>
      <c r="AF59" s="213"/>
      <c r="AG59" s="219"/>
      <c r="AH59" s="134">
        <v>13900</v>
      </c>
      <c r="AI59" s="219"/>
      <c r="AJ59" s="213"/>
      <c r="AL59" s="18">
        <v>7600</v>
      </c>
      <c r="AN59" s="18">
        <v>8000</v>
      </c>
      <c r="AO59" s="20">
        <f t="shared" si="159"/>
        <v>7</v>
      </c>
      <c r="AP59" s="20">
        <f t="shared" si="160"/>
        <v>-0.42446043165467628</v>
      </c>
      <c r="AQ59" s="20">
        <f t="shared" si="161"/>
        <v>5.2631578947368363E-2</v>
      </c>
      <c r="BA59" s="18">
        <f t="shared" si="162"/>
        <v>8000</v>
      </c>
      <c r="BD59" s="18">
        <f t="shared" si="23"/>
        <v>8000</v>
      </c>
      <c r="BG59" s="18">
        <f t="shared" si="86"/>
        <v>8000</v>
      </c>
      <c r="BI59" s="18">
        <v>1500</v>
      </c>
      <c r="BJ59" s="18">
        <f t="shared" si="87"/>
        <v>9500</v>
      </c>
      <c r="BL59" s="18">
        <v>8752</v>
      </c>
      <c r="BM59" s="279">
        <f t="shared" si="163"/>
        <v>0.92126315789473689</v>
      </c>
      <c r="BO59" s="207">
        <v>9000</v>
      </c>
      <c r="BP59" s="279">
        <f t="shared" si="164"/>
        <v>1.0283363802559415</v>
      </c>
      <c r="BS59" s="18">
        <f t="shared" si="165"/>
        <v>9000</v>
      </c>
      <c r="BV59" s="18">
        <f t="shared" si="166"/>
        <v>9000</v>
      </c>
      <c r="BY59" s="18">
        <f t="shared" si="167"/>
        <v>9000</v>
      </c>
      <c r="BZ59" s="384"/>
      <c r="CB59" s="18">
        <f t="shared" si="168"/>
        <v>9000</v>
      </c>
      <c r="CE59" s="18">
        <f t="shared" si="169"/>
        <v>9000</v>
      </c>
      <c r="CH59" s="18">
        <f t="shared" si="170"/>
        <v>9000</v>
      </c>
      <c r="CJ59" s="269">
        <v>-5000</v>
      </c>
      <c r="CK59" s="18">
        <f t="shared" si="171"/>
        <v>4000</v>
      </c>
      <c r="CM59" s="207"/>
      <c r="CN59" s="18">
        <f t="shared" si="172"/>
        <v>4000</v>
      </c>
      <c r="CP59" s="18">
        <v>2000</v>
      </c>
      <c r="CR59" s="18">
        <v>2000</v>
      </c>
      <c r="CS59" s="279">
        <f t="shared" si="173"/>
        <v>1</v>
      </c>
    </row>
    <row r="60" spans="1:97" outlineLevel="1">
      <c r="A60" s="1" t="s">
        <v>78</v>
      </c>
      <c r="B60" s="1" t="s">
        <v>50</v>
      </c>
      <c r="C60" s="4" t="s">
        <v>51</v>
      </c>
      <c r="D60" s="8">
        <v>600</v>
      </c>
      <c r="E60" s="31">
        <v>2375</v>
      </c>
      <c r="F60" s="8">
        <v>15600</v>
      </c>
      <c r="G60" s="31">
        <v>91.35</v>
      </c>
      <c r="H60" s="9">
        <v>14250</v>
      </c>
      <c r="I60" s="17">
        <v>14250</v>
      </c>
      <c r="J60" s="17"/>
      <c r="L60" s="134">
        <f>3*7500</f>
        <v>22500</v>
      </c>
      <c r="M60" s="20">
        <f t="shared" si="156"/>
        <v>0.44230769230769229</v>
      </c>
      <c r="N60" s="20">
        <f t="shared" si="157"/>
        <v>0.57894736842105265</v>
      </c>
      <c r="P60" s="18" t="s">
        <v>317</v>
      </c>
      <c r="Q60" s="18" t="s">
        <v>317</v>
      </c>
      <c r="R60" s="18" t="s">
        <v>317</v>
      </c>
      <c r="S60" s="18" t="s">
        <v>317</v>
      </c>
      <c r="U60" s="134">
        <v>19000</v>
      </c>
      <c r="X60" s="134">
        <v>19000</v>
      </c>
      <c r="Z60" s="143">
        <v>18980</v>
      </c>
      <c r="AB60" s="219">
        <f t="shared" si="158"/>
        <v>-20</v>
      </c>
      <c r="AC60" s="219"/>
      <c r="AD60" s="143">
        <v>18980</v>
      </c>
      <c r="AE60" s="219"/>
      <c r="AF60" s="213"/>
      <c r="AG60" s="219"/>
      <c r="AH60" s="143">
        <v>18980</v>
      </c>
      <c r="AI60" s="219"/>
      <c r="AJ60" s="213"/>
      <c r="AK60" t="s">
        <v>317</v>
      </c>
      <c r="AL60" s="18">
        <v>17250</v>
      </c>
      <c r="AN60" s="18">
        <v>17300</v>
      </c>
      <c r="AO60" s="20">
        <f t="shared" si="159"/>
        <v>-0.23111111111111116</v>
      </c>
      <c r="AP60" s="20">
        <f t="shared" si="160"/>
        <v>-8.85142255005269E-2</v>
      </c>
      <c r="AQ60" s="20">
        <f t="shared" si="161"/>
        <v>2.8985507246377384E-3</v>
      </c>
      <c r="BA60" s="18">
        <f t="shared" si="162"/>
        <v>17300</v>
      </c>
      <c r="BD60" s="18">
        <f t="shared" si="23"/>
        <v>17300</v>
      </c>
      <c r="BG60" s="18">
        <f t="shared" si="86"/>
        <v>17300</v>
      </c>
      <c r="BJ60" s="18">
        <f t="shared" si="87"/>
        <v>17300</v>
      </c>
      <c r="BL60" s="18">
        <v>16000</v>
      </c>
      <c r="BM60" s="279">
        <f t="shared" si="163"/>
        <v>0.92485549132947975</v>
      </c>
      <c r="BO60" s="207">
        <v>15000</v>
      </c>
      <c r="BP60" s="279">
        <f t="shared" si="164"/>
        <v>0.9375</v>
      </c>
      <c r="BS60" s="18">
        <f t="shared" si="165"/>
        <v>15000</v>
      </c>
      <c r="BV60" s="18">
        <f t="shared" si="166"/>
        <v>15000</v>
      </c>
      <c r="BY60" s="18">
        <f t="shared" si="167"/>
        <v>15000</v>
      </c>
      <c r="BZ60" s="384"/>
      <c r="CB60" s="18">
        <f t="shared" si="168"/>
        <v>15000</v>
      </c>
      <c r="CE60" s="18">
        <f t="shared" si="169"/>
        <v>15000</v>
      </c>
      <c r="CH60" s="18">
        <f t="shared" si="170"/>
        <v>15000</v>
      </c>
      <c r="CJ60" s="269">
        <v>-15000</v>
      </c>
      <c r="CK60" s="18">
        <f t="shared" si="171"/>
        <v>0</v>
      </c>
      <c r="CM60" s="207"/>
      <c r="CN60" s="18">
        <f t="shared" si="172"/>
        <v>0</v>
      </c>
      <c r="CP60" s="18">
        <v>0</v>
      </c>
      <c r="CR60" s="18">
        <v>7000</v>
      </c>
      <c r="CS60" s="279" t="e">
        <f t="shared" si="173"/>
        <v>#DIV/0!</v>
      </c>
    </row>
    <row r="61" spans="1:97" outlineLevel="1">
      <c r="A61" s="1" t="s">
        <v>78</v>
      </c>
      <c r="B61" s="1" t="s">
        <v>83</v>
      </c>
      <c r="C61" s="4" t="s">
        <v>84</v>
      </c>
      <c r="D61" s="8">
        <v>32000</v>
      </c>
      <c r="E61" s="31">
        <v>173.51</v>
      </c>
      <c r="F61" s="8">
        <v>32000</v>
      </c>
      <c r="G61" s="31">
        <v>173.51</v>
      </c>
      <c r="H61" s="9">
        <v>55523</v>
      </c>
      <c r="I61" s="17">
        <v>55523</v>
      </c>
      <c r="J61" s="17"/>
      <c r="L61" s="134">
        <v>49000</v>
      </c>
      <c r="M61" s="20">
        <f t="shared" si="156"/>
        <v>0.53125</v>
      </c>
      <c r="N61" s="20">
        <f t="shared" si="157"/>
        <v>-0.11748284494713901</v>
      </c>
      <c r="P61" s="18" t="s">
        <v>318</v>
      </c>
      <c r="Q61" s="18" t="s">
        <v>318</v>
      </c>
      <c r="R61" s="18" t="s">
        <v>318</v>
      </c>
      <c r="S61" s="18" t="s">
        <v>318</v>
      </c>
      <c r="U61" s="134">
        <v>38000</v>
      </c>
      <c r="X61" s="134">
        <v>38000</v>
      </c>
      <c r="Z61" s="134">
        <v>28000</v>
      </c>
      <c r="AB61" s="219">
        <f t="shared" si="158"/>
        <v>-10000</v>
      </c>
      <c r="AC61" s="219"/>
      <c r="AD61" s="134">
        <v>28000</v>
      </c>
      <c r="AE61" s="219"/>
      <c r="AF61" s="213"/>
      <c r="AG61" s="219"/>
      <c r="AH61" s="134">
        <v>28000</v>
      </c>
      <c r="AI61" s="219"/>
      <c r="AJ61" s="213"/>
      <c r="AK61" t="s">
        <v>430</v>
      </c>
      <c r="AL61" s="18">
        <v>16415</v>
      </c>
      <c r="AN61" s="234">
        <v>20000</v>
      </c>
      <c r="AO61" s="20">
        <f t="shared" si="159"/>
        <v>-0.59183673469387754</v>
      </c>
      <c r="AP61" s="20">
        <f t="shared" si="160"/>
        <v>-0.2857142857142857</v>
      </c>
      <c r="AQ61" s="20">
        <f t="shared" si="161"/>
        <v>0.21839780688394761</v>
      </c>
      <c r="BA61" s="18">
        <f t="shared" si="162"/>
        <v>20000</v>
      </c>
      <c r="BD61" s="18">
        <f t="shared" si="23"/>
        <v>20000</v>
      </c>
      <c r="BG61" s="18">
        <f t="shared" si="86"/>
        <v>20000</v>
      </c>
      <c r="BI61" s="18">
        <v>8000</v>
      </c>
      <c r="BJ61" s="18">
        <f t="shared" si="87"/>
        <v>28000</v>
      </c>
      <c r="BL61" s="18">
        <v>33799</v>
      </c>
      <c r="BM61" s="279">
        <f t="shared" si="163"/>
        <v>1.2071071428571429</v>
      </c>
      <c r="BO61" s="207">
        <v>35000</v>
      </c>
      <c r="BP61" s="279">
        <f t="shared" si="164"/>
        <v>1.035533595668511</v>
      </c>
      <c r="BS61" s="18">
        <f t="shared" si="165"/>
        <v>35000</v>
      </c>
      <c r="BV61" s="18">
        <f t="shared" si="166"/>
        <v>35000</v>
      </c>
      <c r="BY61" s="18">
        <f t="shared" si="167"/>
        <v>35000</v>
      </c>
      <c r="BZ61" s="384"/>
      <c r="CB61" s="18">
        <f t="shared" si="168"/>
        <v>35000</v>
      </c>
      <c r="CE61" s="18">
        <f t="shared" si="169"/>
        <v>35000</v>
      </c>
      <c r="CH61" s="18">
        <f t="shared" si="170"/>
        <v>35000</v>
      </c>
      <c r="CJ61" s="269">
        <v>-25000</v>
      </c>
      <c r="CK61" s="18">
        <f t="shared" si="171"/>
        <v>10000</v>
      </c>
      <c r="CM61" s="207"/>
      <c r="CN61" s="18">
        <f t="shared" si="172"/>
        <v>10000</v>
      </c>
      <c r="CP61" s="18">
        <v>11694</v>
      </c>
      <c r="CR61" s="18">
        <v>10000</v>
      </c>
      <c r="CS61" s="279">
        <f t="shared" si="173"/>
        <v>0.85513938772019837</v>
      </c>
    </row>
    <row r="62" spans="1:97" outlineLevel="1">
      <c r="A62" s="198" t="s">
        <v>78</v>
      </c>
      <c r="B62" s="198" t="s">
        <v>423</v>
      </c>
      <c r="C62" s="4" t="s">
        <v>424</v>
      </c>
      <c r="D62" s="8"/>
      <c r="E62" s="31"/>
      <c r="F62" s="8"/>
      <c r="G62" s="31"/>
      <c r="H62" s="9"/>
      <c r="I62" s="17"/>
      <c r="J62" s="17"/>
      <c r="M62" s="20"/>
      <c r="N62" s="20"/>
      <c r="P62" s="18"/>
      <c r="Q62" s="18"/>
      <c r="R62" s="18"/>
      <c r="S62" s="18"/>
      <c r="X62" s="134"/>
      <c r="Z62" s="134">
        <v>500</v>
      </c>
      <c r="AB62" s="219">
        <f t="shared" si="158"/>
        <v>500</v>
      </c>
      <c r="AC62" s="219"/>
      <c r="AD62" s="134">
        <v>500</v>
      </c>
      <c r="AE62" s="219"/>
      <c r="AF62" s="213"/>
      <c r="AG62" s="219"/>
      <c r="AH62" s="134">
        <v>500</v>
      </c>
      <c r="AI62" s="219"/>
      <c r="AJ62" s="213"/>
      <c r="AL62" s="18">
        <v>345</v>
      </c>
      <c r="AN62" s="18">
        <v>500</v>
      </c>
      <c r="AO62" s="20"/>
      <c r="AP62" s="20">
        <f t="shared" si="160"/>
        <v>0</v>
      </c>
      <c r="AQ62" s="20">
        <f t="shared" si="161"/>
        <v>0.44927536231884058</v>
      </c>
      <c r="BA62" s="18">
        <f t="shared" si="162"/>
        <v>500</v>
      </c>
      <c r="BD62" s="18">
        <f t="shared" si="23"/>
        <v>500</v>
      </c>
      <c r="BG62" s="18">
        <f t="shared" si="86"/>
        <v>500</v>
      </c>
      <c r="BI62" s="18">
        <v>2500</v>
      </c>
      <c r="BJ62" s="18">
        <f t="shared" si="87"/>
        <v>3000</v>
      </c>
      <c r="BL62" s="18">
        <v>2632</v>
      </c>
      <c r="BM62" s="279">
        <f t="shared" si="163"/>
        <v>0.8773333333333333</v>
      </c>
      <c r="BO62" s="207">
        <v>500</v>
      </c>
      <c r="BP62" s="279">
        <f t="shared" si="164"/>
        <v>0.1899696048632219</v>
      </c>
      <c r="BS62" s="18">
        <f t="shared" si="165"/>
        <v>500</v>
      </c>
      <c r="BV62" s="18">
        <f t="shared" si="166"/>
        <v>500</v>
      </c>
      <c r="BY62" s="18">
        <f t="shared" si="167"/>
        <v>500</v>
      </c>
      <c r="BZ62" s="384"/>
      <c r="CB62" s="18">
        <f t="shared" si="168"/>
        <v>500</v>
      </c>
      <c r="CE62" s="18">
        <f t="shared" si="169"/>
        <v>500</v>
      </c>
      <c r="CH62" s="18">
        <f t="shared" si="170"/>
        <v>500</v>
      </c>
      <c r="CK62" s="18">
        <f t="shared" si="171"/>
        <v>500</v>
      </c>
      <c r="CM62" s="207"/>
      <c r="CN62" s="18">
        <f t="shared" si="172"/>
        <v>500</v>
      </c>
      <c r="CP62" s="18">
        <v>250</v>
      </c>
      <c r="CR62" s="18">
        <v>0</v>
      </c>
      <c r="CS62" s="279">
        <f t="shared" si="173"/>
        <v>0</v>
      </c>
    </row>
    <row r="63" spans="1:97" outlineLevel="1">
      <c r="A63" s="361" t="s">
        <v>78</v>
      </c>
      <c r="B63" s="361" t="s">
        <v>68</v>
      </c>
      <c r="C63" s="4" t="s">
        <v>562</v>
      </c>
      <c r="D63" s="8"/>
      <c r="E63" s="31"/>
      <c r="F63" s="8"/>
      <c r="G63" s="31"/>
      <c r="H63" s="9"/>
      <c r="I63" s="17"/>
      <c r="J63" s="17"/>
      <c r="M63" s="20"/>
      <c r="N63" s="20"/>
      <c r="P63" s="18"/>
      <c r="Q63" s="18"/>
      <c r="R63" s="18"/>
      <c r="S63" s="18"/>
      <c r="X63" s="134"/>
      <c r="AB63" s="219"/>
      <c r="AC63" s="219"/>
      <c r="AE63" s="219"/>
      <c r="AF63" s="213"/>
      <c r="AG63" s="219"/>
      <c r="AI63" s="219"/>
      <c r="AJ63" s="213"/>
      <c r="AO63" s="20"/>
      <c r="AP63" s="20"/>
      <c r="AQ63" s="20"/>
      <c r="BA63" s="18"/>
      <c r="BD63" s="18"/>
      <c r="BG63" s="18"/>
      <c r="BJ63" s="18"/>
      <c r="BM63" s="279"/>
      <c r="BO63" s="207"/>
      <c r="BP63" s="279"/>
      <c r="BR63" s="18">
        <v>1140</v>
      </c>
      <c r="BS63" s="18">
        <f t="shared" si="165"/>
        <v>1140</v>
      </c>
      <c r="BV63" s="18">
        <f t="shared" si="166"/>
        <v>1140</v>
      </c>
      <c r="BY63" s="18">
        <f t="shared" si="167"/>
        <v>1140</v>
      </c>
      <c r="BZ63" s="384"/>
      <c r="CB63" s="18">
        <f t="shared" si="168"/>
        <v>1140</v>
      </c>
      <c r="CE63" s="18">
        <f t="shared" si="169"/>
        <v>1140</v>
      </c>
      <c r="CH63" s="18">
        <f t="shared" si="170"/>
        <v>1140</v>
      </c>
      <c r="CK63" s="18">
        <f t="shared" si="171"/>
        <v>1140</v>
      </c>
      <c r="CM63" s="207"/>
      <c r="CN63" s="18">
        <f t="shared" si="172"/>
        <v>1140</v>
      </c>
      <c r="CP63" s="18">
        <v>1100</v>
      </c>
      <c r="CR63" s="18">
        <v>0</v>
      </c>
      <c r="CS63" s="279">
        <f t="shared" si="173"/>
        <v>0</v>
      </c>
    </row>
    <row r="64" spans="1:97" outlineLevel="1">
      <c r="A64" s="1" t="s">
        <v>78</v>
      </c>
      <c r="B64" s="1" t="s">
        <v>62</v>
      </c>
      <c r="C64" s="4" t="s">
        <v>63</v>
      </c>
      <c r="D64" s="8">
        <v>0</v>
      </c>
      <c r="E64" s="31">
        <v>0</v>
      </c>
      <c r="F64" s="8">
        <v>0</v>
      </c>
      <c r="G64" s="31">
        <v>0</v>
      </c>
      <c r="H64" s="9">
        <v>2541</v>
      </c>
      <c r="I64" s="17">
        <v>2541</v>
      </c>
      <c r="J64" s="17"/>
      <c r="L64" s="134">
        <v>1000</v>
      </c>
      <c r="M64" s="20" t="e">
        <f t="shared" si="156"/>
        <v>#DIV/0!</v>
      </c>
      <c r="N64" s="20">
        <f t="shared" si="157"/>
        <v>-0.60645415190869734</v>
      </c>
      <c r="P64" s="18" t="s">
        <v>299</v>
      </c>
      <c r="Q64" s="18" t="s">
        <v>299</v>
      </c>
      <c r="R64" s="18" t="s">
        <v>299</v>
      </c>
      <c r="S64" s="18" t="s">
        <v>299</v>
      </c>
      <c r="U64" s="134">
        <v>1600</v>
      </c>
      <c r="X64" s="134">
        <v>1600</v>
      </c>
      <c r="Z64" s="134">
        <v>1600</v>
      </c>
      <c r="AB64" s="219">
        <f t="shared" si="158"/>
        <v>0</v>
      </c>
      <c r="AC64" s="219"/>
      <c r="AD64" s="134">
        <v>1600</v>
      </c>
      <c r="AE64" s="219"/>
      <c r="AF64" s="213"/>
      <c r="AG64" s="219"/>
      <c r="AH64" s="134">
        <v>1600</v>
      </c>
      <c r="AI64" s="219"/>
      <c r="AJ64" s="213"/>
      <c r="AL64" s="18">
        <v>1567</v>
      </c>
      <c r="AN64" s="18">
        <v>1000</v>
      </c>
      <c r="AO64" s="20">
        <f t="shared" si="159"/>
        <v>0</v>
      </c>
      <c r="AP64" s="20">
        <f t="shared" si="160"/>
        <v>-0.375</v>
      </c>
      <c r="AQ64" s="20">
        <f t="shared" si="161"/>
        <v>-0.36183790682833439</v>
      </c>
      <c r="BA64" s="18">
        <f t="shared" si="162"/>
        <v>1000</v>
      </c>
      <c r="BD64" s="18">
        <f t="shared" si="23"/>
        <v>1000</v>
      </c>
      <c r="BG64" s="18">
        <f t="shared" si="86"/>
        <v>1000</v>
      </c>
      <c r="BI64" s="18">
        <v>17000</v>
      </c>
      <c r="BJ64" s="18">
        <f t="shared" si="87"/>
        <v>18000</v>
      </c>
      <c r="BL64" s="18">
        <v>18400</v>
      </c>
      <c r="BM64" s="279">
        <f t="shared" si="163"/>
        <v>1.0222222222222221</v>
      </c>
      <c r="BO64" s="207">
        <v>30000</v>
      </c>
      <c r="BP64" s="279">
        <f t="shared" si="164"/>
        <v>1.6304347826086956</v>
      </c>
      <c r="BS64" s="18">
        <f t="shared" si="165"/>
        <v>30000</v>
      </c>
      <c r="BV64" s="18">
        <f t="shared" si="166"/>
        <v>30000</v>
      </c>
      <c r="BY64" s="18">
        <f t="shared" si="167"/>
        <v>30000</v>
      </c>
      <c r="BZ64" s="384">
        <v>29144</v>
      </c>
      <c r="CB64" s="18">
        <f t="shared" si="168"/>
        <v>30000</v>
      </c>
      <c r="CE64" s="18">
        <f t="shared" si="169"/>
        <v>30000</v>
      </c>
      <c r="CH64" s="18">
        <f t="shared" si="170"/>
        <v>30000</v>
      </c>
      <c r="CJ64" s="269">
        <v>30000</v>
      </c>
      <c r="CK64" s="18">
        <f t="shared" si="171"/>
        <v>60000</v>
      </c>
      <c r="CM64" s="207"/>
      <c r="CN64" s="18">
        <f t="shared" si="172"/>
        <v>60000</v>
      </c>
      <c r="CP64" s="18">
        <v>59144</v>
      </c>
      <c r="CR64" s="18">
        <v>30000</v>
      </c>
      <c r="CS64" s="279">
        <f>CR64/CP64</f>
        <v>0.50723657513864462</v>
      </c>
    </row>
    <row r="65" spans="1:97" outlineLevel="1">
      <c r="A65" s="1" t="s">
        <v>78</v>
      </c>
      <c r="B65" s="4" t="s">
        <v>46</v>
      </c>
      <c r="C65" s="4" t="s">
        <v>85</v>
      </c>
      <c r="D65" s="8">
        <v>37700</v>
      </c>
      <c r="E65" s="31">
        <v>204.82</v>
      </c>
      <c r="F65" s="8">
        <v>54200</v>
      </c>
      <c r="G65" s="31">
        <v>142.47</v>
      </c>
      <c r="H65" s="9">
        <v>77219</v>
      </c>
      <c r="I65" s="17"/>
      <c r="J65" s="17"/>
      <c r="P65" s="18"/>
      <c r="Q65" s="18"/>
      <c r="R65" s="18"/>
      <c r="S65" s="18"/>
      <c r="X65" s="134"/>
      <c r="AF65" s="213"/>
      <c r="AJ65" s="213"/>
      <c r="AO65" s="20"/>
      <c r="AP65" s="20"/>
      <c r="AQ65" s="20"/>
      <c r="BD65" s="18"/>
      <c r="BG65" s="18"/>
      <c r="BJ65" s="18"/>
      <c r="BZ65" s="384"/>
      <c r="CM65" s="207"/>
    </row>
    <row r="66" spans="1:97" ht="15.75" thickBot="1">
      <c r="A66" s="27"/>
      <c r="B66" s="28" t="s">
        <v>274</v>
      </c>
      <c r="C66" s="28" t="s">
        <v>300</v>
      </c>
      <c r="D66" s="25">
        <f>D64+D40</f>
        <v>8000</v>
      </c>
      <c r="E66" s="33"/>
      <c r="F66" s="25">
        <f>F64+F40</f>
        <v>8000</v>
      </c>
      <c r="G66" s="33"/>
      <c r="H66" s="25"/>
      <c r="I66" s="25">
        <f>I64+I40</f>
        <v>2541</v>
      </c>
      <c r="J66" s="25"/>
      <c r="K66" s="23"/>
      <c r="L66" s="188">
        <f>L64+L40</f>
        <v>1000</v>
      </c>
      <c r="M66" s="26">
        <f>L66/F66-1</f>
        <v>-0.875</v>
      </c>
      <c r="N66" s="26">
        <f>L66/I66-1</f>
        <v>-0.60645415190869734</v>
      </c>
      <c r="P66" s="163">
        <f>L66</f>
        <v>1000</v>
      </c>
      <c r="Q66" s="163">
        <f>P66</f>
        <v>1000</v>
      </c>
      <c r="R66" s="163">
        <f>Q66</f>
        <v>1000</v>
      </c>
      <c r="S66" s="163">
        <f>R66</f>
        <v>1000</v>
      </c>
      <c r="U66" s="188">
        <f>U64+U40</f>
        <v>1600</v>
      </c>
      <c r="X66" s="188">
        <f>X64+X40</f>
        <v>1600</v>
      </c>
      <c r="Z66" s="188">
        <f>Z55+Z64+Z40</f>
        <v>28590</v>
      </c>
      <c r="AD66" s="188">
        <f>AD55+AD64+AD40</f>
        <v>28590</v>
      </c>
      <c r="AF66" s="213"/>
      <c r="AH66" s="188">
        <f>AH55+AH64+AH40</f>
        <v>28590</v>
      </c>
      <c r="AJ66" s="213"/>
      <c r="AL66" s="187">
        <f>AL55+AL64+AL40</f>
        <v>28557</v>
      </c>
      <c r="AN66" s="187">
        <f>AN55+AN64+AN40</f>
        <v>1000</v>
      </c>
      <c r="AO66" s="20">
        <f t="shared" si="159"/>
        <v>0</v>
      </c>
      <c r="AP66" s="20">
        <f t="shared" si="160"/>
        <v>-0.96502273522210569</v>
      </c>
      <c r="AQ66" s="20">
        <f t="shared" si="161"/>
        <v>-0.96498231606961515</v>
      </c>
      <c r="AZ66" s="187">
        <f>AZ55+AZ64+AZ40</f>
        <v>0</v>
      </c>
      <c r="BA66" s="187">
        <f>BA55+BA64+BA40</f>
        <v>1000</v>
      </c>
      <c r="BD66" s="187">
        <f>BD55+BD64+BD40</f>
        <v>1000</v>
      </c>
      <c r="BG66" s="187">
        <f>BG55+BG64+BG40</f>
        <v>1000</v>
      </c>
      <c r="BI66" s="187">
        <f>BI55+BI64+BI40</f>
        <v>149000</v>
      </c>
      <c r="BJ66" s="187">
        <f>BJ55+BJ64+BJ40</f>
        <v>150000</v>
      </c>
      <c r="BL66" s="187">
        <f>BL55+BL64+BL40</f>
        <v>152244.6</v>
      </c>
      <c r="BM66" s="286">
        <f>BL66/BJ66</f>
        <v>1.014964</v>
      </c>
      <c r="BO66" s="187">
        <f>BO55+BO64+BO40</f>
        <v>40000</v>
      </c>
      <c r="BP66" s="286">
        <f>BO66/BL66</f>
        <v>0.26273509865046113</v>
      </c>
      <c r="BR66" s="187">
        <f t="shared" ref="BR66" si="174">BR55+BR64+BR40</f>
        <v>0</v>
      </c>
      <c r="BS66" s="187">
        <f>BS55+BS64+BS40</f>
        <v>40000</v>
      </c>
      <c r="BU66" s="187">
        <f t="shared" ref="BU66" si="175">BU55+BU64+BU40</f>
        <v>0</v>
      </c>
      <c r="BV66" s="187">
        <f>BV55+BV64+BV40</f>
        <v>40000</v>
      </c>
      <c r="BX66" s="187">
        <f t="shared" ref="BX66" si="176">BX55+BX64+BX40</f>
        <v>0</v>
      </c>
      <c r="BY66" s="187">
        <f>BY55+BY64+BY40</f>
        <v>40000</v>
      </c>
      <c r="BZ66" s="384"/>
      <c r="CA66" s="391">
        <f t="shared" ref="CA66" si="177">CA55+CA64+CA40</f>
        <v>0</v>
      </c>
      <c r="CB66" s="187">
        <f>CB55+CB64+CB40</f>
        <v>40000</v>
      </c>
      <c r="CD66" s="187">
        <f t="shared" ref="CD66" si="178">CD55+CD64+CD40</f>
        <v>0</v>
      </c>
      <c r="CE66" s="187">
        <f>CE55+CE64+CE40</f>
        <v>40000</v>
      </c>
      <c r="CG66" s="187">
        <f t="shared" ref="CG66" si="179">CG55+CG64+CG40</f>
        <v>0</v>
      </c>
      <c r="CH66" s="187">
        <f>CH55+CH64+CH40</f>
        <v>40000</v>
      </c>
      <c r="CJ66" s="187">
        <f t="shared" ref="CJ66" si="180">CJ55+CJ64+CJ40</f>
        <v>30000</v>
      </c>
      <c r="CK66" s="187">
        <f>CK55+CK64+CK40</f>
        <v>70000</v>
      </c>
      <c r="CM66" s="187">
        <f t="shared" ref="CM66" si="181">CM55+CM64+CM40</f>
        <v>0</v>
      </c>
      <c r="CN66" s="187">
        <f>CN55+CN64+CN40</f>
        <v>70000</v>
      </c>
      <c r="CP66" s="187">
        <f>CP55+CP64+CP40</f>
        <v>59144</v>
      </c>
      <c r="CR66" s="187">
        <f t="shared" ref="CR66" si="182">CR55+CR64+CR40</f>
        <v>30000</v>
      </c>
      <c r="CS66" s="286">
        <f>CR66/CP66</f>
        <v>0.50723657513864462</v>
      </c>
    </row>
    <row r="67" spans="1:97" ht="15.75" outlineLevel="1" thickTop="1">
      <c r="A67" s="10" t="s">
        <v>0</v>
      </c>
      <c r="P67" s="166">
        <f>P20-L20</f>
        <v>-334050</v>
      </c>
      <c r="Q67" s="166">
        <f>Q20-L20</f>
        <v>-501075</v>
      </c>
      <c r="R67" s="166">
        <f>R20-L20</f>
        <v>-668100</v>
      </c>
      <c r="S67" s="166">
        <f>S20-L20</f>
        <v>-935340</v>
      </c>
      <c r="U67" s="166">
        <f>U20-L20</f>
        <v>-887800</v>
      </c>
      <c r="W67" s="18">
        <f>(U20+U30+U66)-(L20+L30+L66+662200)</f>
        <v>-801700</v>
      </c>
      <c r="AF67" s="213"/>
      <c r="AJ67" s="213"/>
      <c r="BZ67" s="384"/>
    </row>
    <row r="68" spans="1:97" outlineLevel="1">
      <c r="A68" s="1" t="s">
        <v>0</v>
      </c>
      <c r="B68" s="1" t="s">
        <v>0</v>
      </c>
      <c r="C68" s="1" t="s">
        <v>0</v>
      </c>
      <c r="D68" s="1" t="s">
        <v>1</v>
      </c>
      <c r="E68" s="29" t="s">
        <v>0</v>
      </c>
      <c r="F68" s="1" t="s">
        <v>2</v>
      </c>
      <c r="G68" s="29" t="s">
        <v>0</v>
      </c>
      <c r="H68" s="2" t="s">
        <v>3</v>
      </c>
      <c r="I68" s="16"/>
      <c r="J68" s="16"/>
      <c r="O68" s="169">
        <v>0.01</v>
      </c>
      <c r="P68" s="166">
        <f>P67/10</f>
        <v>-33405</v>
      </c>
      <c r="Q68" s="18"/>
      <c r="AF68" s="213"/>
      <c r="AJ68" s="213"/>
      <c r="BZ68" s="384"/>
    </row>
    <row r="69" spans="1:97" outlineLevel="1">
      <c r="A69" s="1" t="s">
        <v>4</v>
      </c>
      <c r="B69" s="1" t="s">
        <v>5</v>
      </c>
      <c r="C69" s="4" t="s">
        <v>6</v>
      </c>
      <c r="D69" s="1" t="s">
        <v>7</v>
      </c>
      <c r="E69" s="29" t="s">
        <v>8</v>
      </c>
      <c r="F69" s="1" t="s">
        <v>9</v>
      </c>
      <c r="G69" s="29" t="s">
        <v>8</v>
      </c>
      <c r="H69" s="2" t="s">
        <v>10</v>
      </c>
      <c r="I69" s="16"/>
      <c r="J69" s="16"/>
      <c r="P69" s="18"/>
      <c r="Q69" s="18"/>
      <c r="AF69" s="213"/>
      <c r="AJ69" s="213"/>
      <c r="BZ69" s="384"/>
    </row>
    <row r="70" spans="1:97" outlineLevel="1">
      <c r="A70" s="3" t="s">
        <v>86</v>
      </c>
      <c r="B70" s="5" t="s">
        <v>48</v>
      </c>
      <c r="C70" s="5" t="s">
        <v>87</v>
      </c>
      <c r="D70" s="6">
        <v>37700</v>
      </c>
      <c r="E70" s="30">
        <v>204.82</v>
      </c>
      <c r="F70" s="6">
        <v>54200</v>
      </c>
      <c r="G70" s="30">
        <v>142.47</v>
      </c>
      <c r="H70" s="7">
        <v>77219</v>
      </c>
      <c r="I70" s="17"/>
      <c r="J70" s="17"/>
      <c r="P70" s="18"/>
      <c r="Q70" s="18"/>
      <c r="X70" s="18"/>
      <c r="AF70" s="213"/>
      <c r="AJ70" s="213"/>
      <c r="BZ70" s="384"/>
    </row>
    <row r="71" spans="1:97" outlineLevel="1">
      <c r="A71" s="10" t="s">
        <v>0</v>
      </c>
      <c r="P71" s="18"/>
      <c r="Q71" s="18"/>
      <c r="X71" s="18"/>
      <c r="AF71" s="213"/>
      <c r="AJ71" s="213"/>
      <c r="BZ71" s="384"/>
    </row>
    <row r="72" spans="1:97" outlineLevel="1">
      <c r="A72" s="1" t="s">
        <v>88</v>
      </c>
      <c r="B72" s="1" t="s">
        <v>89</v>
      </c>
      <c r="C72" s="4" t="s">
        <v>90</v>
      </c>
      <c r="D72" s="8">
        <v>200</v>
      </c>
      <c r="E72" s="31">
        <v>59.92</v>
      </c>
      <c r="F72" s="8">
        <v>200</v>
      </c>
      <c r="G72" s="31">
        <v>59.92</v>
      </c>
      <c r="H72" s="9">
        <v>119.84</v>
      </c>
      <c r="I72" s="17">
        <f>H72*$I$2</f>
        <v>143.80799999999999</v>
      </c>
      <c r="J72" s="17"/>
      <c r="L72" s="134">
        <v>200</v>
      </c>
      <c r="M72" s="20">
        <f>L72/F72-1</f>
        <v>0</v>
      </c>
      <c r="N72" s="20">
        <f>L72/I72-1</f>
        <v>0.39074321317311989</v>
      </c>
      <c r="P72" s="18"/>
      <c r="Q72" s="18"/>
      <c r="U72" s="134">
        <v>200</v>
      </c>
      <c r="X72" s="18">
        <v>200</v>
      </c>
      <c r="Z72" s="134">
        <v>100</v>
      </c>
      <c r="AB72" s="219">
        <f t="shared" ref="AB72" si="183">Z72-X72</f>
        <v>-100</v>
      </c>
      <c r="AC72" s="219"/>
      <c r="AD72" s="134">
        <v>100</v>
      </c>
      <c r="AE72" s="219"/>
      <c r="AF72" s="213"/>
      <c r="AG72" s="219"/>
      <c r="AH72" s="134">
        <v>100</v>
      </c>
      <c r="AI72" s="219"/>
      <c r="AJ72" s="213"/>
      <c r="AL72" s="18">
        <v>90</v>
      </c>
      <c r="AN72" s="18">
        <v>100</v>
      </c>
      <c r="AO72" s="20">
        <f t="shared" ref="AO72" si="184">AN72/L72-1</f>
        <v>-0.5</v>
      </c>
      <c r="AP72" s="20">
        <f t="shared" ref="AP72" si="185">AN72/AH72-1</f>
        <v>0</v>
      </c>
      <c r="AQ72" s="20">
        <f t="shared" ref="AQ72" si="186">AN72/AL72-1</f>
        <v>0.11111111111111116</v>
      </c>
      <c r="BA72" s="18">
        <f t="shared" ref="BA72" si="187">AN72+AZ72</f>
        <v>100</v>
      </c>
      <c r="BD72" s="18">
        <f>BA72</f>
        <v>100</v>
      </c>
      <c r="BG72" s="18">
        <f>BD72</f>
        <v>100</v>
      </c>
      <c r="BI72" s="18">
        <v>-100</v>
      </c>
      <c r="BJ72" s="18">
        <f t="shared" ref="BJ72:BJ73" si="188">BG72+BI72</f>
        <v>0</v>
      </c>
      <c r="BL72" s="18">
        <v>0</v>
      </c>
      <c r="BM72" s="279" t="e">
        <f t="shared" ref="BM72" si="189">BL72/BJ72</f>
        <v>#DIV/0!</v>
      </c>
      <c r="BO72" s="18">
        <v>0</v>
      </c>
      <c r="BS72" s="18">
        <f t="shared" ref="BS72:BS73" si="190">BO72+BR72</f>
        <v>0</v>
      </c>
      <c r="BV72" s="18">
        <f t="shared" ref="BV72:BV73" si="191">BS72+BU72</f>
        <v>0</v>
      </c>
      <c r="BY72" s="18">
        <f t="shared" ref="BY72:BY73" si="192">BV72+BX72</f>
        <v>0</v>
      </c>
      <c r="BZ72" s="384">
        <v>8.11</v>
      </c>
      <c r="CB72" s="18">
        <f t="shared" ref="CB72:CB73" si="193">BY72+CA72</f>
        <v>0</v>
      </c>
      <c r="CE72" s="18">
        <f t="shared" ref="CE72:CE73" si="194">CB72+CD72</f>
        <v>0</v>
      </c>
      <c r="CH72" s="18">
        <f t="shared" ref="CH72:CH73" si="195">CE72+CG72</f>
        <v>0</v>
      </c>
      <c r="CK72" s="18">
        <f t="shared" ref="CK72:CK73" si="196">CH72+CJ72</f>
        <v>0</v>
      </c>
      <c r="CN72" s="18">
        <f t="shared" ref="CN72:CN73" si="197">CK72+CM72</f>
        <v>0</v>
      </c>
      <c r="CP72" s="18">
        <v>8.49</v>
      </c>
      <c r="CR72" s="18">
        <v>0</v>
      </c>
    </row>
    <row r="73" spans="1:97" outlineLevel="1">
      <c r="A73" s="270" t="s">
        <v>88</v>
      </c>
      <c r="B73" s="270" t="s">
        <v>497</v>
      </c>
      <c r="C73" s="4" t="s">
        <v>498</v>
      </c>
      <c r="D73" s="8"/>
      <c r="E73" s="31"/>
      <c r="F73" s="8"/>
      <c r="G73" s="31"/>
      <c r="H73" s="9"/>
      <c r="I73" s="17"/>
      <c r="J73" s="17"/>
      <c r="M73" s="20"/>
      <c r="N73" s="20"/>
      <c r="P73" s="18"/>
      <c r="Q73" s="18"/>
      <c r="X73" s="18"/>
      <c r="AB73" s="219"/>
      <c r="AC73" s="219"/>
      <c r="AE73" s="219"/>
      <c r="AF73" s="213"/>
      <c r="AG73" s="219"/>
      <c r="AI73" s="219"/>
      <c r="AJ73" s="213"/>
      <c r="AO73" s="20"/>
      <c r="AP73" s="20"/>
      <c r="AQ73" s="20"/>
      <c r="BA73" s="18"/>
      <c r="BD73" s="18"/>
      <c r="BG73" s="18"/>
      <c r="BI73" s="18">
        <v>9100</v>
      </c>
      <c r="BJ73" s="18">
        <f t="shared" si="188"/>
        <v>9100</v>
      </c>
      <c r="BL73" s="18">
        <v>9078.5</v>
      </c>
      <c r="BM73" s="279">
        <f t="shared" ref="BM73" si="198">BL73/BJ73</f>
        <v>0.99763736263736269</v>
      </c>
      <c r="BS73" s="18">
        <f t="shared" si="190"/>
        <v>0</v>
      </c>
      <c r="BV73" s="18">
        <f t="shared" si="191"/>
        <v>0</v>
      </c>
      <c r="BY73" s="18">
        <f t="shared" si="192"/>
        <v>0</v>
      </c>
      <c r="BZ73" s="384"/>
      <c r="CB73" s="18">
        <f t="shared" si="193"/>
        <v>0</v>
      </c>
      <c r="CE73" s="18">
        <f t="shared" si="194"/>
        <v>0</v>
      </c>
      <c r="CH73" s="18">
        <f t="shared" si="195"/>
        <v>0</v>
      </c>
      <c r="CK73" s="18">
        <f t="shared" si="196"/>
        <v>0</v>
      </c>
      <c r="CN73" s="18">
        <f t="shared" si="197"/>
        <v>0</v>
      </c>
    </row>
    <row r="74" spans="1:97" outlineLevel="1">
      <c r="A74" s="1" t="s">
        <v>88</v>
      </c>
      <c r="B74" s="4" t="s">
        <v>46</v>
      </c>
      <c r="C74" s="4" t="s">
        <v>91</v>
      </c>
      <c r="D74" s="8">
        <v>200</v>
      </c>
      <c r="E74" s="31">
        <v>59.92</v>
      </c>
      <c r="F74" s="8">
        <v>200</v>
      </c>
      <c r="G74" s="31">
        <v>59.92</v>
      </c>
      <c r="H74" s="9">
        <v>119.84</v>
      </c>
      <c r="I74" s="17"/>
      <c r="J74" s="17"/>
      <c r="P74" s="18"/>
      <c r="Q74" s="18"/>
      <c r="X74" s="18"/>
      <c r="AF74" s="213"/>
      <c r="AJ74" s="213"/>
      <c r="BZ74" s="384"/>
    </row>
    <row r="75" spans="1:97" outlineLevel="1">
      <c r="A75" s="1" t="s">
        <v>92</v>
      </c>
      <c r="B75" s="4" t="s">
        <v>48</v>
      </c>
      <c r="C75" s="4" t="s">
        <v>91</v>
      </c>
      <c r="D75" s="8">
        <v>200</v>
      </c>
      <c r="E75" s="31">
        <v>59.92</v>
      </c>
      <c r="F75" s="8">
        <v>200</v>
      </c>
      <c r="G75" s="31">
        <v>59.92</v>
      </c>
      <c r="H75" s="9">
        <v>119.84</v>
      </c>
      <c r="I75" s="17"/>
      <c r="J75" s="17"/>
      <c r="P75" s="18"/>
      <c r="Q75" s="18"/>
      <c r="X75" s="18"/>
      <c r="AF75" s="213"/>
      <c r="AJ75" s="213"/>
      <c r="BZ75" s="384"/>
    </row>
    <row r="76" spans="1:97" outlineLevel="1">
      <c r="A76" s="10" t="s">
        <v>0</v>
      </c>
      <c r="P76" s="18"/>
      <c r="Q76" s="18"/>
      <c r="X76" s="18"/>
      <c r="AF76" s="213"/>
      <c r="AJ76" s="213"/>
      <c r="BZ76" s="384"/>
    </row>
    <row r="77" spans="1:97" ht="14.25" customHeight="1" outlineLevel="1">
      <c r="A77" s="1" t="s">
        <v>93</v>
      </c>
      <c r="B77" s="1" t="s">
        <v>94</v>
      </c>
      <c r="C77" s="4" t="s">
        <v>95</v>
      </c>
      <c r="D77" s="8">
        <v>50000</v>
      </c>
      <c r="E77" s="31">
        <v>1977</v>
      </c>
      <c r="F77" s="8">
        <v>50000</v>
      </c>
      <c r="G77" s="31">
        <v>1977</v>
      </c>
      <c r="H77" s="9">
        <v>988500</v>
      </c>
      <c r="I77" s="17">
        <f>H77</f>
        <v>988500</v>
      </c>
      <c r="J77" s="17"/>
      <c r="L77" s="134">
        <v>0</v>
      </c>
      <c r="M77" s="20">
        <f>L77/F77-1</f>
        <v>-1</v>
      </c>
      <c r="N77" s="20">
        <f>L77/I77-1</f>
        <v>-1</v>
      </c>
      <c r="P77" s="18"/>
      <c r="Q77" s="18"/>
      <c r="X77" s="18"/>
      <c r="AF77" s="213"/>
      <c r="AJ77" s="213"/>
      <c r="AL77" s="227">
        <v>1209500</v>
      </c>
      <c r="BL77" s="18">
        <v>330800</v>
      </c>
      <c r="BM77" s="279" t="e">
        <f t="shared" ref="BM77:BM78" si="199">BL77/BJ77</f>
        <v>#DIV/0!</v>
      </c>
      <c r="BS77" s="18">
        <f t="shared" ref="BS77:BS78" si="200">BO77+BR77</f>
        <v>0</v>
      </c>
      <c r="BV77" s="18">
        <f t="shared" ref="BV77:BV78" si="201">BS77+BU77</f>
        <v>0</v>
      </c>
      <c r="BY77" s="18">
        <f t="shared" ref="BY77:BY78" si="202">BV77+BX77</f>
        <v>0</v>
      </c>
      <c r="BZ77" s="384"/>
      <c r="CB77" s="18">
        <f t="shared" ref="CB77:CB78" si="203">BY77+CA77</f>
        <v>0</v>
      </c>
      <c r="CE77" s="18">
        <f t="shared" ref="CE77:CE78" si="204">CB77+CD77</f>
        <v>0</v>
      </c>
      <c r="CH77" s="18">
        <f t="shared" ref="CH77:CH78" si="205">CE77+CG77</f>
        <v>0</v>
      </c>
      <c r="CK77" s="18">
        <f t="shared" ref="CK77:CK78" si="206">CH77+CJ77</f>
        <v>0</v>
      </c>
      <c r="CN77" s="18">
        <f t="shared" ref="CN77:CN78" si="207">CK77+CM77</f>
        <v>0</v>
      </c>
      <c r="CP77" s="18">
        <v>1772500</v>
      </c>
    </row>
    <row r="78" spans="1:97" outlineLevel="1">
      <c r="A78" s="1" t="s">
        <v>93</v>
      </c>
      <c r="B78" s="1" t="s">
        <v>96</v>
      </c>
      <c r="C78" s="4" t="s">
        <v>97</v>
      </c>
      <c r="D78" s="8">
        <v>0</v>
      </c>
      <c r="E78" s="31">
        <v>0</v>
      </c>
      <c r="F78" s="8">
        <v>0</v>
      </c>
      <c r="G78" s="31">
        <v>0</v>
      </c>
      <c r="H78" s="9">
        <v>96000</v>
      </c>
      <c r="I78" s="17">
        <f>H78</f>
        <v>96000</v>
      </c>
      <c r="J78" s="17"/>
      <c r="L78" s="134">
        <v>0</v>
      </c>
      <c r="M78" s="20" t="e">
        <f>L78/F78-1</f>
        <v>#DIV/0!</v>
      </c>
      <c r="N78" s="20">
        <f>L78/I78-1</f>
        <v>-1</v>
      </c>
      <c r="P78" s="18"/>
      <c r="Q78" s="18"/>
      <c r="X78" s="18"/>
      <c r="AF78" s="213"/>
      <c r="AJ78" s="213"/>
      <c r="AL78" s="227">
        <v>60000</v>
      </c>
      <c r="BL78" s="18">
        <v>70000</v>
      </c>
      <c r="BM78" s="279" t="e">
        <f t="shared" si="199"/>
        <v>#DIV/0!</v>
      </c>
      <c r="BS78" s="18">
        <f t="shared" si="200"/>
        <v>0</v>
      </c>
      <c r="BV78" s="18">
        <f t="shared" si="201"/>
        <v>0</v>
      </c>
      <c r="BY78" s="18">
        <f t="shared" si="202"/>
        <v>0</v>
      </c>
      <c r="BZ78" s="384"/>
      <c r="CB78" s="18">
        <f t="shared" si="203"/>
        <v>0</v>
      </c>
      <c r="CE78" s="18">
        <f t="shared" si="204"/>
        <v>0</v>
      </c>
      <c r="CH78" s="18">
        <f t="shared" si="205"/>
        <v>0</v>
      </c>
      <c r="CK78" s="18">
        <f t="shared" si="206"/>
        <v>0</v>
      </c>
      <c r="CN78" s="18">
        <f t="shared" si="207"/>
        <v>0</v>
      </c>
      <c r="CP78" s="18">
        <v>110000</v>
      </c>
    </row>
    <row r="79" spans="1:97" outlineLevel="1">
      <c r="A79" s="1" t="s">
        <v>93</v>
      </c>
      <c r="B79" s="4" t="s">
        <v>46</v>
      </c>
      <c r="C79" s="4" t="s">
        <v>98</v>
      </c>
      <c r="D79" s="8">
        <v>50000</v>
      </c>
      <c r="E79" s="31">
        <v>2169</v>
      </c>
      <c r="F79" s="8">
        <v>50000</v>
      </c>
      <c r="G79" s="31">
        <v>2169</v>
      </c>
      <c r="H79" s="9">
        <v>1084500</v>
      </c>
      <c r="I79" s="17"/>
      <c r="J79" s="17"/>
      <c r="P79" s="18"/>
      <c r="Q79" s="18"/>
      <c r="X79" s="18"/>
      <c r="AF79" s="213"/>
      <c r="AJ79" s="213"/>
      <c r="BZ79" s="384"/>
    </row>
    <row r="80" spans="1:97" outlineLevel="1">
      <c r="A80" s="1" t="s">
        <v>99</v>
      </c>
      <c r="B80" s="4" t="s">
        <v>48</v>
      </c>
      <c r="C80" s="4" t="s">
        <v>100</v>
      </c>
      <c r="D80" s="8">
        <v>50000</v>
      </c>
      <c r="E80" s="31">
        <v>2169</v>
      </c>
      <c r="F80" s="8">
        <v>50000</v>
      </c>
      <c r="G80" s="31">
        <v>2169</v>
      </c>
      <c r="H80" s="9">
        <v>1084500</v>
      </c>
      <c r="I80" s="17"/>
      <c r="J80" s="17"/>
      <c r="P80" s="18"/>
      <c r="Q80" s="18"/>
      <c r="X80" s="18"/>
      <c r="AF80" s="213"/>
      <c r="AJ80" s="213"/>
      <c r="BZ80" s="384"/>
    </row>
    <row r="81" spans="1:97" outlineLevel="1">
      <c r="A81" s="10" t="s">
        <v>0</v>
      </c>
      <c r="P81" s="18"/>
      <c r="Q81" s="18"/>
      <c r="X81" s="18"/>
      <c r="AF81" s="213"/>
      <c r="AJ81" s="213"/>
      <c r="BZ81" s="384"/>
    </row>
    <row r="82" spans="1:97" outlineLevel="1">
      <c r="A82" s="1" t="s">
        <v>101</v>
      </c>
      <c r="B82" s="1" t="s">
        <v>102</v>
      </c>
      <c r="C82" s="4" t="s">
        <v>103</v>
      </c>
      <c r="D82" s="8">
        <v>0</v>
      </c>
      <c r="E82" s="31">
        <v>0</v>
      </c>
      <c r="F82" s="8">
        <v>-1200</v>
      </c>
      <c r="G82" s="31">
        <v>100</v>
      </c>
      <c r="H82" s="9">
        <v>-1200</v>
      </c>
      <c r="I82" s="17">
        <v>-1200</v>
      </c>
      <c r="J82" s="17"/>
      <c r="L82" s="134">
        <v>0</v>
      </c>
      <c r="P82" s="18"/>
      <c r="Q82" s="18"/>
      <c r="X82" s="18"/>
      <c r="AF82" s="213"/>
      <c r="AJ82" s="213"/>
      <c r="BL82" s="18">
        <v>1281.0999999999999</v>
      </c>
      <c r="BS82" s="18">
        <f t="shared" ref="BS82" si="208">BO82+BR82</f>
        <v>0</v>
      </c>
      <c r="BV82" s="18">
        <f t="shared" ref="BV82" si="209">BS82+BU82</f>
        <v>0</v>
      </c>
      <c r="BY82" s="18">
        <f t="shared" ref="BY82" si="210">BV82+BX82</f>
        <v>0</v>
      </c>
      <c r="BZ82" s="384"/>
      <c r="CB82" s="18">
        <f t="shared" ref="CB82" si="211">BY82+CA82</f>
        <v>0</v>
      </c>
      <c r="CE82" s="18">
        <f t="shared" ref="CE82" si="212">CB82+CD82</f>
        <v>0</v>
      </c>
      <c r="CH82" s="18">
        <f t="shared" ref="CH82" si="213">CE82+CG82</f>
        <v>0</v>
      </c>
      <c r="CK82" s="18">
        <f t="shared" ref="CK82" si="214">CH82+CJ82</f>
        <v>0</v>
      </c>
      <c r="CN82" s="18">
        <f t="shared" ref="CN82" si="215">CK82+CM82</f>
        <v>0</v>
      </c>
      <c r="CR82" s="18">
        <v>0</v>
      </c>
    </row>
    <row r="83" spans="1:97" outlineLevel="1">
      <c r="A83" s="1" t="s">
        <v>101</v>
      </c>
      <c r="B83" s="4" t="s">
        <v>46</v>
      </c>
      <c r="C83" s="4" t="s">
        <v>104</v>
      </c>
      <c r="D83" s="8">
        <v>0</v>
      </c>
      <c r="E83" s="31">
        <v>0</v>
      </c>
      <c r="F83" s="8">
        <v>-1200</v>
      </c>
      <c r="G83" s="31">
        <v>100</v>
      </c>
      <c r="H83" s="9">
        <v>-1200</v>
      </c>
      <c r="I83" s="17"/>
      <c r="J83" s="17"/>
      <c r="P83" s="18"/>
      <c r="Q83" s="18"/>
      <c r="X83" s="18"/>
      <c r="AF83" s="213"/>
      <c r="AJ83" s="213"/>
      <c r="BZ83" s="384"/>
    </row>
    <row r="84" spans="1:97" outlineLevel="1">
      <c r="A84" s="1" t="s">
        <v>105</v>
      </c>
      <c r="B84" s="4" t="s">
        <v>48</v>
      </c>
      <c r="C84" s="4" t="s">
        <v>106</v>
      </c>
      <c r="D84" s="8">
        <v>0</v>
      </c>
      <c r="E84" s="31">
        <v>0</v>
      </c>
      <c r="F84" s="8">
        <v>-1200</v>
      </c>
      <c r="G84" s="31">
        <v>100</v>
      </c>
      <c r="H84" s="9">
        <v>-1200</v>
      </c>
      <c r="I84" s="17"/>
      <c r="J84" s="17"/>
      <c r="P84" s="18"/>
      <c r="Q84" s="18"/>
      <c r="X84" s="18"/>
      <c r="AF84" s="213"/>
      <c r="AJ84" s="213"/>
      <c r="BZ84" s="384"/>
    </row>
    <row r="85" spans="1:97" outlineLevel="1">
      <c r="A85" s="10" t="s">
        <v>0</v>
      </c>
      <c r="P85" s="18"/>
      <c r="Q85" s="18"/>
      <c r="X85" s="18"/>
      <c r="AF85" s="213"/>
      <c r="AJ85" s="213"/>
      <c r="BZ85" s="384"/>
    </row>
    <row r="86" spans="1:97" outlineLevel="1">
      <c r="A86" s="456" t="s">
        <v>107</v>
      </c>
      <c r="B86" s="455"/>
      <c r="C86" s="457"/>
      <c r="D86" s="8">
        <v>5707000</v>
      </c>
      <c r="E86" s="31">
        <v>109.84</v>
      </c>
      <c r="F86" s="8">
        <v>5936574.3399999999</v>
      </c>
      <c r="G86" s="31">
        <v>105.59</v>
      </c>
      <c r="H86" s="9">
        <v>6268720.0999999996</v>
      </c>
      <c r="I86" s="17"/>
      <c r="J86" s="17"/>
      <c r="P86" s="18"/>
      <c r="Q86" s="18"/>
      <c r="X86" s="18"/>
      <c r="AF86" s="213"/>
      <c r="AJ86" s="213"/>
      <c r="BZ86" s="384"/>
    </row>
    <row r="87" spans="1:97" outlineLevel="1">
      <c r="P87" s="18"/>
      <c r="Q87" s="18"/>
      <c r="X87" s="18"/>
      <c r="AF87" s="213"/>
      <c r="AJ87" s="213"/>
      <c r="BZ87" s="384"/>
    </row>
    <row r="88" spans="1:97" ht="15.75" thickBot="1">
      <c r="A88" s="27"/>
      <c r="B88" s="28" t="s">
        <v>272</v>
      </c>
      <c r="C88" s="28" t="s">
        <v>319</v>
      </c>
      <c r="D88" s="25">
        <f>D82+D72+D61+D60+D59+D58+D57+D49+D45+D36+D32</f>
        <v>193900</v>
      </c>
      <c r="E88" s="33"/>
      <c r="F88" s="25">
        <f>F82+F72+F61+F60+F59+F58+F57+F49+F45+F36+F32</f>
        <v>209200</v>
      </c>
      <c r="G88" s="33"/>
      <c r="H88" s="25"/>
      <c r="I88" s="25">
        <f>I82+I72+I61+I60+I59+I58+I57+I49+I45+I36+I32</f>
        <v>219557.47466666665</v>
      </c>
      <c r="J88" s="25"/>
      <c r="K88" s="23"/>
      <c r="L88" s="188">
        <f>L82+L72+L61+L60+L59+L58+L57+L49+L45+L36+L32</f>
        <v>241200</v>
      </c>
      <c r="M88" s="26">
        <f>L88/F88-1</f>
        <v>0.15296367112810705</v>
      </c>
      <c r="N88" s="26">
        <f>L88/I88-1</f>
        <v>9.857339344147209E-2</v>
      </c>
      <c r="P88" s="163">
        <f>L88</f>
        <v>241200</v>
      </c>
      <c r="Q88" s="167"/>
      <c r="U88" s="188">
        <f>U82+U72+U61+U60+U59+U58+U57+U49+U45+U36+U32</f>
        <v>230500</v>
      </c>
      <c r="X88" s="25">
        <f>X82+X72+X61+X60+X59+X58+X57+X49+X45+X36+X32</f>
        <v>230500</v>
      </c>
      <c r="Z88" s="25">
        <f>Z82+Z72+Z61+Z60+Z59+Z58+Z57+Z49+Z45+Z36+Z32+Z54+Z62</f>
        <v>240800</v>
      </c>
      <c r="AD88" s="25">
        <f>AD82+AD72+AD61+AD60+AD59+AD58+AD57+AD49+AD45+AD36+AD32+AD54+AD62</f>
        <v>240800</v>
      </c>
      <c r="AF88" s="213"/>
      <c r="AH88" s="25">
        <f>AH82+AH72+AH61+AH60+AH59+AH58+AH57+AH49+AH45+AH36+AH32+AH54+AH62</f>
        <v>240800</v>
      </c>
      <c r="AJ88" s="213"/>
      <c r="AL88" s="163">
        <f>AL82+AL72+AL61+AL60+AL59+AL58+AL57+AL49+AL45+AL36+AL32+AL54+AL62</f>
        <v>219140.41</v>
      </c>
      <c r="AN88" s="163">
        <f>AN82+AN72+AN61+AN60+AN59+AN58+AN57+AN49+AN45+AN36+AN32+AN54+AN62</f>
        <v>203000</v>
      </c>
      <c r="AO88" s="20">
        <f t="shared" ref="AO88" si="216">AN88/L88-1</f>
        <v>-0.15837479270315091</v>
      </c>
      <c r="AP88" s="20">
        <f t="shared" ref="AP88" si="217">AN88/AH88-1</f>
        <v>-0.15697674418604646</v>
      </c>
      <c r="AQ88" s="20">
        <f t="shared" ref="AQ88" si="218">AN88/AL88-1</f>
        <v>-7.365328010475114E-2</v>
      </c>
      <c r="AZ88" s="163">
        <f>AZ82+AZ72+AZ61+AZ60+AZ59+AZ58+AZ57+AZ49+AZ45+AZ36+AZ32+AZ54+AZ62</f>
        <v>0</v>
      </c>
      <c r="BA88" s="163">
        <f>BA82+BA72+BA61+BA60+BA59+BA58+BA57+BA49+BA45+BA36+BA32+BA54+BA62</f>
        <v>203000</v>
      </c>
      <c r="BD88" s="163">
        <f>BD82+BD72+BD61+BD60+BD59+BD58+BD57+BD49+BD45+BD36+BD32+BD54+BD62</f>
        <v>203000</v>
      </c>
      <c r="BG88" s="163">
        <f>BG82+BG72+BG61+BG60+BG59+BG58+BG57+BG49+BG45+BG36+BG32+BG54+BG62</f>
        <v>203000</v>
      </c>
      <c r="BI88" s="163">
        <f>BI82+BI72+BI61+BI60+BI59+BI58+BI57+BI49+BI45+BI36+BI32+BI54+BI62+BI50+BI73</f>
        <v>87800</v>
      </c>
      <c r="BJ88" s="163">
        <f>BJ82+BJ72+BJ61+BJ60+BJ59+BJ58+BJ57+BJ49+BJ45+BJ36+BJ32+BJ54+BJ62+BJ50+BJ73</f>
        <v>290800</v>
      </c>
      <c r="BL88" s="163">
        <f>BL82+BL72+BL61+BL60+BL59+BL58+BL57+BL49+BL45+BL36+BL32+BL54+BL62+BL50+BL73</f>
        <v>265528.33</v>
      </c>
      <c r="BM88" s="286">
        <f>BL88/BJ88</f>
        <v>0.91309604539202205</v>
      </c>
      <c r="BO88" s="187">
        <f>BO82+BO72+BO61+BO60+BO59+BO58+BO57+BO49+BO45+BO36+BO32+BO54+BO62+BO50+BO73+BO41</f>
        <v>514500</v>
      </c>
      <c r="BP88" s="286">
        <f>BO88/BL88</f>
        <v>1.9376463520860465</v>
      </c>
      <c r="BR88" s="187">
        <f>BR82+BR72+BR61+BR60+BR59+BR58+BR57+BR49+BR45+BR36+BR32+BR54+BR62+BR50+BR73+BR41+BR63</f>
        <v>28140</v>
      </c>
      <c r="BS88" s="187">
        <f>BS82+BS72+BS61+BS60+BS59+BS58+BS57+BS49+BS45+BS36+BS32+BS54+BS62+BS50+BS73+BS41+BS63</f>
        <v>542640</v>
      </c>
      <c r="BU88" s="187">
        <f>BU82+BU72+BU61+BU60+BU59+BU58+BU57+BU49+BU45+BU36+BU32+BU54+BU62+BU50+BU73+BU41+BU63</f>
        <v>80000</v>
      </c>
      <c r="BV88" s="187">
        <f>BV82+BV72+BV61+BV60+BV59+BV58+BV57+BV49+BV45+BV36+BV32+BV54+BV62+BV50+BV73+BV41+BV63</f>
        <v>622640</v>
      </c>
      <c r="BX88" s="187">
        <f>BX82+BX72+BX61+BX60+BX59+BX58+BX57+BX49+BX45+BX36+BX32+BX54+BX62+BX50+BX73+BX41+BX63</f>
        <v>0</v>
      </c>
      <c r="BY88" s="187">
        <f>BY82+BY72+BY61+BY60+BY59+BY58+BY57+BY49+BY45+BY36+BY32+BY54+BY62+BY50+BY73+BY41+BY63</f>
        <v>622640</v>
      </c>
      <c r="BZ88" s="384"/>
      <c r="CA88" s="391">
        <f>CA82+CA72+CA61+CA60+CA59+CA58+CA57+CA49+CA45+CA36+CA32+CA54+CA62+CA50+CA73+CA41+CA63</f>
        <v>0</v>
      </c>
      <c r="CB88" s="187">
        <f>CB82+CB72+CB61+CB60+CB59+CB58+CB57+CB49+CB45+CB36+CB32+CB54+CB62+CB50+CB73+CB41+CB63</f>
        <v>622640</v>
      </c>
      <c r="CD88" s="187">
        <f>CD82+CD72+CD61+CD60+CD59+CD58+CD57+CD49+CD45+CD36+CD32+CD54+CD62+CD50+CD73+CD41+CD63</f>
        <v>0</v>
      </c>
      <c r="CE88" s="187">
        <f>CE82+CE72+CE61+CE60+CE59+CE58+CE57+CE49+CE45+CE36+CE32+CE54+CE62+CE50+CE73+CE41+CE63</f>
        <v>622640</v>
      </c>
      <c r="CG88" s="187">
        <f>CG82+CG72+CG61+CG60+CG59+CG58+CG57+CG49+CG45+CG36+CG32+CG54+CG62+CG50+CG73+CG41+CG63</f>
        <v>0</v>
      </c>
      <c r="CH88" s="187">
        <f>CH82+CH72+CH61+CH60+CH59+CH58+CH57+CH49+CH45+CH36+CH32+CH54+CH62+CH50+CH73+CH41+CH63</f>
        <v>622640</v>
      </c>
      <c r="CJ88" s="187">
        <f>CJ82+CJ72+CJ61+CJ60+CJ59+CJ58+CJ57+CJ49+CJ45+CJ36+CJ32+CJ54+CJ62+CJ50+CJ73+CJ41+CJ63</f>
        <v>-29000</v>
      </c>
      <c r="CK88" s="187">
        <f>CK82+CK72+CK61+CK60+CK59+CK58+CK57+CK49+CK45+CK36+CK32+CK54+CK62+CK50+CK73+CK41+CK63</f>
        <v>593640</v>
      </c>
      <c r="CM88" s="187">
        <f>CM82+CM72+CM61+CM60+CM59+CM58+CM57+CM49+CM45+CM36+CM32+CM54+CM62+CM50+CM73+CM41+CM63</f>
        <v>0</v>
      </c>
      <c r="CN88" s="187">
        <f>CN82+CN72+CN61+CN60+CN59+CN58+CN57+CN49+CN45+CN36+CN32+CN54+CN62+CN50+CN73+CN41+CN63</f>
        <v>593640</v>
      </c>
      <c r="CP88" s="187">
        <f>CP82+CP72+CP61+CP60+CP59+CP58+CP57+CP49+CP45+CP36+CP32+CP54+CP62+CP50+CP73+CP41+CP63</f>
        <v>435708.33</v>
      </c>
      <c r="CR88" s="187">
        <f>CR82+CR72+CR61+CR60+CR59+CR58+CR57+CR49+CR45+CR36+CR32+CR54+CR62+CR50+CR73+CR41+CR63</f>
        <v>514800</v>
      </c>
      <c r="CS88" s="286">
        <f>CR88/CP88</f>
        <v>1.1815243468032846</v>
      </c>
    </row>
    <row r="89" spans="1:97" ht="16.5" thickTop="1" thickBot="1">
      <c r="AF89" s="213"/>
      <c r="AJ89" s="213"/>
      <c r="BS89" s="18"/>
      <c r="BV89" s="18"/>
      <c r="BY89" s="18"/>
      <c r="BZ89" s="384"/>
      <c r="CB89" s="18"/>
      <c r="CE89" s="18"/>
      <c r="CH89" s="18"/>
      <c r="CK89" s="18"/>
      <c r="CN89" s="18"/>
    </row>
    <row r="90" spans="1:97" ht="15.75" thickBot="1">
      <c r="A90" s="151"/>
      <c r="B90" s="151"/>
      <c r="C90" s="151" t="s">
        <v>390</v>
      </c>
      <c r="D90" s="152">
        <f>D20+D30+D66+D88</f>
        <v>5707000</v>
      </c>
      <c r="E90" s="153"/>
      <c r="F90" s="152">
        <f>F20+F30+F66+F88</f>
        <v>5936574.3399999999</v>
      </c>
      <c r="G90" s="153"/>
      <c r="H90" s="151"/>
      <c r="I90" s="152">
        <f>I20+I30+I66+I88</f>
        <v>7115505.2846666668</v>
      </c>
      <c r="J90" s="151"/>
      <c r="K90" s="154"/>
      <c r="L90" s="196">
        <f>L20+L30+L66+L88</f>
        <v>5291000</v>
      </c>
      <c r="M90" s="155">
        <f>L90/F90-1</f>
        <v>-0.10874526334997425</v>
      </c>
      <c r="N90" s="155">
        <f>L90/I90-1</f>
        <v>-0.25641261044360786</v>
      </c>
      <c r="P90" s="152">
        <f>P20+P30+P66+P88</f>
        <v>4956950</v>
      </c>
      <c r="Q90" s="168"/>
      <c r="R90" s="162">
        <f>P90-L90</f>
        <v>-334050</v>
      </c>
      <c r="U90" s="196">
        <f>U20+U30+U66+U88</f>
        <v>5140800</v>
      </c>
      <c r="X90" s="152">
        <f>X20+X30+X66+X88</f>
        <v>5620550</v>
      </c>
      <c r="Z90" s="152">
        <f>Z20+Z30+Z66+Z88</f>
        <v>5926760</v>
      </c>
      <c r="AD90" s="152">
        <f>AD20+AD30+AD66+AD88</f>
        <v>5990340</v>
      </c>
      <c r="AF90" s="213">
        <f t="shared" ref="AF90" si="219">AD90-Z90</f>
        <v>63580</v>
      </c>
      <c r="AH90" s="152">
        <f>AH20+AH30+AH66+AH88</f>
        <v>6235240</v>
      </c>
      <c r="AJ90" s="213">
        <f t="shared" ref="AJ90" si="220">AH90-AD90</f>
        <v>244900</v>
      </c>
      <c r="AL90" s="154">
        <f>AL20+AL30+AL66+AL88</f>
        <v>6200517.1000000006</v>
      </c>
      <c r="AN90" s="154">
        <f>AN20+AN30+AN66+AN88</f>
        <v>4392000</v>
      </c>
      <c r="AO90" s="20">
        <f t="shared" ref="AO90" si="221">AN90/L90-1</f>
        <v>-0.16991116991116995</v>
      </c>
      <c r="AP90" s="20">
        <f t="shared" ref="AP90" si="222">AN90/AH90-1</f>
        <v>-0.29561652799250715</v>
      </c>
      <c r="AQ90" s="20">
        <f t="shared" ref="AQ90" si="223">AN90/AL90-1</f>
        <v>-0.29167198006759798</v>
      </c>
      <c r="AZ90" s="154">
        <f>AZ20+AZ30+AZ66+AZ88</f>
        <v>211541.07</v>
      </c>
      <c r="BA90" s="154">
        <f>BA20+BA30+BA66+BA88</f>
        <v>4603541.07</v>
      </c>
      <c r="BC90" s="154">
        <f>BC20+BC30+BC66+BC88</f>
        <v>0</v>
      </c>
      <c r="BD90" s="154">
        <f>BD20+BD30+BD66+BD88</f>
        <v>4603541.07</v>
      </c>
      <c r="BF90" s="154">
        <f>BF20+BF30+BF66+BF88</f>
        <v>49297.26</v>
      </c>
      <c r="BG90" s="154">
        <f>BG20+BG30+BG66+BG88</f>
        <v>4652838.33</v>
      </c>
      <c r="BI90" s="154">
        <f>BI20+BI30+BI66+BI88</f>
        <v>1092487.9100000001</v>
      </c>
      <c r="BJ90" s="154">
        <f>BJ20+BJ30+BJ66+BJ88</f>
        <v>5745326.2400000002</v>
      </c>
      <c r="BL90" s="154">
        <f>BL20+BL30+BL66+BL88</f>
        <v>5905051.04</v>
      </c>
      <c r="BM90" s="287">
        <f>BL90/BJ90</f>
        <v>1.0278008233697795</v>
      </c>
      <c r="BO90" s="154">
        <f>BO20+BO30+BO66+BO88</f>
        <v>7206500</v>
      </c>
      <c r="BP90" s="287">
        <f>BO90/BL90</f>
        <v>1.2203958867051554</v>
      </c>
      <c r="BR90" s="154">
        <f>BR20+BR30+BR66+BR88</f>
        <v>170366.07</v>
      </c>
      <c r="BS90" s="154">
        <f t="shared" ref="BS90" si="224">BS20+BS30+BS66+BS88</f>
        <v>7376866.0700000003</v>
      </c>
      <c r="BU90" s="154">
        <f>BU20+BU30+BU66+BU88</f>
        <v>168974</v>
      </c>
      <c r="BV90" s="154">
        <f>BV20+BV30+BV66+BV88</f>
        <v>7545840.0700000003</v>
      </c>
      <c r="BX90" s="154">
        <f>BX20+BX30+BX66+BX88</f>
        <v>241888.89</v>
      </c>
      <c r="BY90" s="154">
        <f>BY20+BY30+BY66+BY88</f>
        <v>7787728.96</v>
      </c>
      <c r="BZ90" s="384"/>
      <c r="CA90" s="405">
        <f>CA20+CA30+CA66+CA88</f>
        <v>0</v>
      </c>
      <c r="CB90" s="154">
        <f>CB20+CB30+CB66+CB88</f>
        <v>7787728.96</v>
      </c>
      <c r="CD90" s="154">
        <f>CD20+CD30+CD66+CD88</f>
        <v>152000</v>
      </c>
      <c r="CE90" s="154">
        <f>CE20+CE30+CE66+CE88</f>
        <v>7939728.96</v>
      </c>
      <c r="CG90" s="154">
        <f>CG20+CG30+CG66+CG88</f>
        <v>0</v>
      </c>
      <c r="CH90" s="154">
        <f>CH20+CH30+CH66+CH88</f>
        <v>7939728.96</v>
      </c>
      <c r="CJ90" s="154">
        <f>CJ20+CJ30+CJ66+CJ88</f>
        <v>102500</v>
      </c>
      <c r="CK90" s="154">
        <f>CK20+CK30+CK66+CK88</f>
        <v>8042228.96</v>
      </c>
      <c r="CM90" s="154">
        <f>CM20+CM30+CM66+CM88</f>
        <v>-241741.08</v>
      </c>
      <c r="CN90" s="154">
        <f>CN20+CN30+CN66+CN88</f>
        <v>7800487.8799999999</v>
      </c>
      <c r="CP90" s="154">
        <f>CP20+CP30+CP66+CP88</f>
        <v>7595604.9400000004</v>
      </c>
      <c r="CR90" s="154">
        <f>CR20+CR30+CR66+CR88</f>
        <v>7036388.8899999997</v>
      </c>
      <c r="CS90" s="287">
        <f>CR90/CP90</f>
        <v>0.92637636443477267</v>
      </c>
    </row>
    <row r="91" spans="1:97" ht="15.75" thickTop="1">
      <c r="AB91" s="143">
        <f>SUM(AB5:AB90)</f>
        <v>306210</v>
      </c>
      <c r="AC91" s="143"/>
      <c r="AE91" s="143"/>
      <c r="AF91" s="214">
        <f>SUM(AF5:AF87)</f>
        <v>63580</v>
      </c>
      <c r="AG91" s="143"/>
      <c r="AI91" s="143"/>
      <c r="AJ91" s="214">
        <f>SUM(AJ5:AJ87)</f>
        <v>244900</v>
      </c>
      <c r="BS91" s="18"/>
      <c r="BV91" s="18"/>
      <c r="BY91" s="18"/>
      <c r="BZ91" s="384"/>
      <c r="CB91" s="18"/>
      <c r="CE91" s="18"/>
      <c r="CH91" s="18"/>
      <c r="CK91" s="18"/>
      <c r="CN91" s="18"/>
    </row>
    <row r="92" spans="1:97" ht="15.75" thickBot="1">
      <c r="C92" t="s">
        <v>466</v>
      </c>
      <c r="L92" s="18">
        <f>L5+L6+L7+L8+L9+L10+L16+L18+L19</f>
        <v>4764000</v>
      </c>
      <c r="AH92" s="18">
        <f>AH5+AH6+AH7+AH8+AH9+AH10+AH16+AH18+AH19</f>
        <v>4408100</v>
      </c>
      <c r="AL92" s="18">
        <f>AL5+AL6+AL7+AL8+AL9+AL10+AL16+AL18+AL19</f>
        <v>4406753.6599999992</v>
      </c>
      <c r="AN92" s="18">
        <f>AN5+AN6+AN7+AN8+AN9+AN10+AN16+AN18+AN19</f>
        <v>3892000</v>
      </c>
      <c r="AO92" s="20">
        <f t="shared" ref="AO92" si="225">AN92/L92-1</f>
        <v>-0.18303946263644</v>
      </c>
      <c r="AP92" s="20">
        <f t="shared" ref="AP92" si="226">AN92/AH92-1</f>
        <v>-0.11707992105442255</v>
      </c>
      <c r="AQ92" s="20">
        <f t="shared" ref="AQ92" si="227">AN92/AL92-1</f>
        <v>-0.11681017359159562</v>
      </c>
      <c r="AZ92" s="18">
        <f>AZ5+AZ6+AZ7+AZ8+AZ9+AZ10+AZ16+AZ18+AZ19</f>
        <v>0</v>
      </c>
      <c r="BA92" s="18">
        <f>BA5+BA6+BA7+BA8+BA9+BA10+BA16+BA18+BA19</f>
        <v>3892000</v>
      </c>
      <c r="BD92" s="18">
        <f>BD5+BD6+BD7+BD8+BD9+BD10+BD16+BD18+BD19</f>
        <v>3892000</v>
      </c>
      <c r="BG92" s="18">
        <f>BG5+BG6+BG7+BG8+BG9+BG10+BG16+BG18+BG19</f>
        <v>3892000</v>
      </c>
      <c r="BJ92" s="18">
        <f>BJ5+BJ6+BJ7+BJ8+BJ9+BJ10+BJ16+BJ18+BJ19</f>
        <v>4647000</v>
      </c>
      <c r="BL92" s="18">
        <f>BL5+BL6+BL7+BL8+BL9+BL10+BL16+BL18+BL19</f>
        <v>4834539.07</v>
      </c>
      <c r="BM92" s="279">
        <f t="shared" ref="BM92" si="228">BL92/BJ92</f>
        <v>1.0403570195825265</v>
      </c>
      <c r="BO92" s="18">
        <f>BO5+BO6+BO7+BO8+BO9+BO10+BO16+BO18+BO19</f>
        <v>5167000</v>
      </c>
      <c r="BP92" s="288">
        <f>BO92/BL92</f>
        <v>1.0687678649786978</v>
      </c>
      <c r="BR92" s="18">
        <f>BR5+BR6+BR7+BR8+BR9+BR10+BR16+BR18+BR19</f>
        <v>82000</v>
      </c>
      <c r="BS92" s="18">
        <f>BS5+BS6+BS7+BS8+BS9+BS10+BS16+BS18+BS19</f>
        <v>5249000</v>
      </c>
      <c r="BU92" s="18">
        <f>BU5+BU6+BU7+BU8+BU9+BU10+BU16+BU18+BU19</f>
        <v>100000</v>
      </c>
      <c r="BV92" s="18">
        <f>BV5+BV6+BV7+BV8+BV9+BV10+BV16+BV18+BV19</f>
        <v>5349000</v>
      </c>
      <c r="BX92" s="18">
        <f>BX5+BX6+BX7+BX8+BX9+BX10+BX16+BX18+BX19</f>
        <v>0</v>
      </c>
      <c r="BY92" s="18">
        <f>BY5+BY6+BY7+BY8+BY9+BY10+BY16+BY18+BY19</f>
        <v>5349000</v>
      </c>
      <c r="BZ92" s="384"/>
      <c r="CA92" s="207">
        <f>CA5+CA6+CA7+CA8+CA9+CA10+CA16+CA18+CA19</f>
        <v>0</v>
      </c>
      <c r="CB92" s="18">
        <f>CB5+CB6+CB7+CB8+CB9+CB10+CB16+CB18+CB19</f>
        <v>5349000</v>
      </c>
      <c r="CD92" s="18">
        <f>CD5+CD6+CD7+CD8+CD9+CD10+CD16+CD18+CD19</f>
        <v>21000</v>
      </c>
      <c r="CE92" s="18">
        <f>CE5+CE6+CE7+CE8+CE9+CE10+CE16+CE18+CE19</f>
        <v>5370000</v>
      </c>
      <c r="CG92" s="18">
        <f>CG5+CG6+CG7+CG8+CG9+CG10+CG16+CG18+CG19</f>
        <v>0</v>
      </c>
      <c r="CH92" s="18">
        <f>CH5+CH6+CH7+CH8+CH9+CH10+CH16+CH18+CH19</f>
        <v>5370000</v>
      </c>
      <c r="CJ92" s="18">
        <f>CJ5+CJ6+CJ7+CJ8+CJ9+CJ10+CJ16+CJ18+CJ19</f>
        <v>81000</v>
      </c>
      <c r="CK92" s="18">
        <f>CK5+CK6+CK7+CK8+CK9+CK10+CK16+CK18+CK19</f>
        <v>5451000</v>
      </c>
      <c r="CM92" s="18">
        <f>CM5+CM6+CM7+CM8+CM9+CM10+CM16+CM18+CM19</f>
        <v>0</v>
      </c>
      <c r="CN92" s="18">
        <f>CN5+CN6+CN7+CN8+CN9+CN10+CN16+CN18+CN19</f>
        <v>5451000</v>
      </c>
      <c r="CP92" s="18">
        <f>CP5+CP6+CP7+CP8+CP9+CP10+CP16+CP18+CP19</f>
        <v>5416870.6100000003</v>
      </c>
      <c r="CR92" s="18">
        <f>CR5+CR6+CR7+CR8+CR9+CR10+CR16+CR18+CR19</f>
        <v>5825000</v>
      </c>
      <c r="CS92" s="288">
        <f>CR92/CP92</f>
        <v>1.0753441275201512</v>
      </c>
    </row>
    <row r="93" spans="1:97" ht="15.75" thickTop="1"/>
  </sheetData>
  <autoFilter ref="A4:CG20"/>
  <mergeCells count="5">
    <mergeCell ref="A1:H1"/>
    <mergeCell ref="A86:C86"/>
    <mergeCell ref="D2:H2"/>
    <mergeCell ref="AD2:AF3"/>
    <mergeCell ref="AH2:AJ3"/>
  </mergeCells>
  <pageMargins left="0.17" right="0.15748031496062992" top="0.19685039370078741" bottom="0.19685039370078741" header="0.15748031496062992" footer="0.1574803149606299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G313"/>
  <sheetViews>
    <sheetView tabSelected="1" workbookViewId="0">
      <pane xSplit="3" ySplit="4" topLeftCell="BJ139" activePane="bottomRight" state="frozen"/>
      <selection activeCell="BZ40" sqref="BZ40"/>
      <selection pane="topRight" activeCell="BZ40" sqref="BZ40"/>
      <selection pane="bottomLeft" activeCell="BZ40" sqref="BZ40"/>
      <selection pane="bottomRight" activeCell="DD4" sqref="DD4"/>
    </sheetView>
  </sheetViews>
  <sheetFormatPr defaultRowHeight="15" outlineLevelRow="2" outlineLevelCol="1"/>
  <cols>
    <col min="1" max="1" width="8.28515625" bestFit="1" customWidth="1"/>
    <col min="2" max="2" width="7.85546875" bestFit="1" customWidth="1"/>
    <col min="3" max="3" width="40.140625" style="337" customWidth="1"/>
    <col min="4" max="4" width="11.85546875" style="18" hidden="1" customWidth="1" outlineLevel="1"/>
    <col min="5" max="5" width="8.28515625" style="38" hidden="1" customWidth="1" outlineLevel="1"/>
    <col min="6" max="6" width="11.5703125" style="18" hidden="1" customWidth="1" outlineLevel="1"/>
    <col min="7" max="7" width="8.28515625" style="38" hidden="1" customWidth="1" outlineLevel="1"/>
    <col min="8" max="9" width="12.7109375" style="18" hidden="1" customWidth="1" outlineLevel="1"/>
    <col min="10" max="10" width="8.42578125" hidden="1" customWidth="1" outlineLevel="1"/>
    <col min="11" max="11" width="9.140625" hidden="1" customWidth="1" outlineLevel="1"/>
    <col min="12" max="12" width="11.5703125" style="134" customWidth="1" collapsed="1"/>
    <col min="13" max="13" width="10.5703125" hidden="1" customWidth="1" outlineLevel="1"/>
    <col min="14" max="14" width="9.140625" hidden="1" customWidth="1" outlineLevel="1"/>
    <col min="15" max="15" width="6.42578125" hidden="1" customWidth="1" outlineLevel="1"/>
    <col min="16" max="16" width="4.7109375" hidden="1" customWidth="1" outlineLevel="1"/>
    <col min="17" max="17" width="9.140625" style="134" hidden="1" customWidth="1" outlineLevel="1"/>
    <col min="18" max="18" width="9.140625" style="18" hidden="1" customWidth="1" outlineLevel="1"/>
    <col min="19" max="19" width="9.140625" style="134" hidden="1" customWidth="1" outlineLevel="1"/>
    <col min="20" max="21" width="9.140625" style="18" hidden="1" customWidth="1" outlineLevel="1"/>
    <col min="22" max="22" width="9.140625" style="159" hidden="1" customWidth="1" outlineLevel="1"/>
    <col min="23" max="24" width="2.5703125" hidden="1" customWidth="1" outlineLevel="1"/>
    <col min="25" max="26" width="9.140625" hidden="1" customWidth="1" outlineLevel="1"/>
    <col min="27" max="28" width="9.140625" style="134" hidden="1" customWidth="1" outlineLevel="1"/>
    <col min="29" max="29" width="9.140625" style="220" hidden="1" customWidth="1" outlineLevel="1"/>
    <col min="30" max="30" width="4.7109375" style="220" hidden="1" customWidth="1" outlineLevel="1"/>
    <col min="31" max="31" width="9.140625" style="134" collapsed="1"/>
    <col min="32" max="32" width="8" customWidth="1"/>
    <col min="33" max="33" width="4.7109375" customWidth="1"/>
    <col min="34" max="34" width="11.42578125" customWidth="1"/>
    <col min="36" max="36" width="3.42578125" customWidth="1"/>
    <col min="37" max="37" width="9.140625" style="134"/>
    <col min="38" max="38" width="0" style="207" hidden="1" customWidth="1"/>
    <col min="39" max="41" width="0" hidden="1" customWidth="1"/>
    <col min="42" max="42" width="0" style="260" hidden="1" customWidth="1"/>
    <col min="43" max="43" width="0" hidden="1" customWidth="1"/>
    <col min="44" max="46" width="9.140625" hidden="1" customWidth="1" outlineLevel="1"/>
    <col min="47" max="47" width="9.140625" style="18" hidden="1" customWidth="1" outlineLevel="1"/>
    <col min="48" max="51" width="9.140625" hidden="1" customWidth="1" outlineLevel="1"/>
    <col min="52" max="52" width="1.85546875" hidden="1" customWidth="1" outlineLevel="1"/>
    <col min="53" max="53" width="9.140625" style="18" hidden="1" customWidth="1" outlineLevel="1"/>
    <col min="54" max="54" width="9.140625" hidden="1" customWidth="1" outlineLevel="1"/>
    <col min="55" max="55" width="2.140625" hidden="1" customWidth="1" outlineLevel="1"/>
    <col min="56" max="57" width="9.140625" hidden="1" customWidth="1" outlineLevel="1"/>
    <col min="58" max="58" width="1.85546875" customWidth="1" collapsed="1"/>
    <col min="60" max="60" width="9.28515625" bestFit="1" customWidth="1"/>
    <col min="61" max="61" width="1.85546875" customWidth="1"/>
    <col min="62" max="62" width="12.42578125" style="18" bestFit="1" customWidth="1"/>
    <col min="63" max="63" width="7" style="278" customWidth="1"/>
    <col min="64" max="64" width="2.5703125" style="278" customWidth="1"/>
    <col min="65" max="65" width="9.85546875" style="285" bestFit="1" customWidth="1"/>
    <col min="66" max="67" width="7.7109375" style="278" customWidth="1"/>
    <col min="68" max="68" width="4.140625" customWidth="1"/>
    <col min="69" max="70" width="9.85546875" style="285" hidden="1" customWidth="1" outlineLevel="1"/>
    <col min="71" max="71" width="1.7109375" hidden="1" customWidth="1" outlineLevel="1"/>
    <col min="72" max="73" width="9.85546875" style="285" hidden="1" customWidth="1" outlineLevel="1"/>
    <col min="74" max="74" width="1.7109375" hidden="1" customWidth="1" outlineLevel="1"/>
    <col min="75" max="76" width="9.85546875" style="285" hidden="1" customWidth="1" outlineLevel="1"/>
    <col min="77" max="77" width="1.7109375" hidden="1" customWidth="1" outlineLevel="1"/>
    <col min="78" max="79" width="9.85546875" style="285" hidden="1" customWidth="1" outlineLevel="1"/>
    <col min="80" max="80" width="1.7109375" hidden="1" customWidth="1" outlineLevel="1"/>
    <col min="81" max="82" width="9.85546875" style="285" hidden="1" customWidth="1" outlineLevel="1"/>
    <col min="83" max="83" width="1.7109375" hidden="1" customWidth="1" outlineLevel="1"/>
    <col min="84" max="85" width="9.85546875" style="285" hidden="1" customWidth="1" outlineLevel="1"/>
    <col min="86" max="86" width="1.7109375" style="206" hidden="1" customWidth="1" outlineLevel="1"/>
    <col min="87" max="88" width="9.85546875" style="285" hidden="1" customWidth="1" outlineLevel="1"/>
    <col min="89" max="89" width="3.7109375" hidden="1" customWidth="1" outlineLevel="1"/>
    <col min="90" max="90" width="9.85546875" style="327" hidden="1" customWidth="1" outlineLevel="1"/>
    <col min="91" max="91" width="9.85546875" style="285" hidden="1" customWidth="1" outlineLevel="1"/>
    <col min="92" max="92" width="1.5703125" hidden="1" customWidth="1" outlineLevel="1"/>
    <col min="93" max="93" width="9.85546875" style="289" hidden="1" customWidth="1" outlineLevel="1"/>
    <col min="94" max="94" width="9.85546875" style="285" hidden="1" customWidth="1" outlineLevel="1"/>
    <col min="95" max="95" width="2.7109375" customWidth="1" collapsed="1"/>
    <col min="96" max="96" width="9.85546875" style="289" hidden="1" customWidth="1" outlineLevel="1"/>
    <col min="97" max="97" width="9.85546875" style="285" hidden="1" customWidth="1" outlineLevel="1"/>
    <col min="98" max="98" width="1.140625" hidden="1" customWidth="1" outlineLevel="1"/>
    <col min="99" max="99" width="9.85546875" style="289" hidden="1" customWidth="1" outlineLevel="1"/>
    <col min="100" max="100" width="9.85546875" style="285" hidden="1" customWidth="1" outlineLevel="1"/>
    <col min="101" max="101" width="3.140625" hidden="1" customWidth="1" outlineLevel="1"/>
    <col min="102" max="102" width="9.85546875" style="289" bestFit="1" customWidth="1" collapsed="1"/>
    <col min="103" max="103" width="9.85546875" style="285" customWidth="1"/>
    <col min="104" max="104" width="1.7109375" customWidth="1"/>
    <col min="105" max="105" width="9.85546875" style="289" bestFit="1" customWidth="1"/>
    <col min="106" max="106" width="2.85546875" customWidth="1"/>
    <col min="107" max="107" width="11.85546875" style="289" bestFit="1" customWidth="1"/>
    <col min="109" max="109" width="16" bestFit="1" customWidth="1"/>
  </cols>
  <sheetData>
    <row r="1" spans="1:107">
      <c r="A1" s="454" t="s">
        <v>288</v>
      </c>
      <c r="B1" s="455"/>
      <c r="C1" s="455"/>
      <c r="D1" s="455"/>
      <c r="E1" s="455"/>
      <c r="F1" s="455"/>
      <c r="G1" s="455"/>
      <c r="H1" s="455"/>
      <c r="I1" s="58"/>
      <c r="J1" s="12"/>
      <c r="Q1" s="18">
        <f>Q309</f>
        <v>6722400</v>
      </c>
      <c r="R1" s="18">
        <f>R309</f>
        <v>2751761</v>
      </c>
      <c r="S1" s="18">
        <f>S309</f>
        <v>5885000</v>
      </c>
      <c r="T1" s="18">
        <f>T309</f>
        <v>-846900</v>
      </c>
      <c r="Y1" s="18">
        <f>Y309</f>
        <v>5928700</v>
      </c>
      <c r="Z1">
        <v>5930500</v>
      </c>
      <c r="AA1" s="134">
        <f>Y1-Z1</f>
        <v>-1800</v>
      </c>
      <c r="AH1" s="18">
        <f>SUBTOTAL(9,AH5:AH303)</f>
        <v>14225103.58</v>
      </c>
      <c r="AR1" s="18">
        <f>AR309</f>
        <v>100000</v>
      </c>
      <c r="AS1" s="18">
        <f>AS309</f>
        <v>4929000</v>
      </c>
      <c r="AV1" s="18">
        <f>AV309</f>
        <v>5079300</v>
      </c>
      <c r="AW1" s="18">
        <f>AW309</f>
        <v>0</v>
      </c>
      <c r="AX1" s="18">
        <f>AX309</f>
        <v>49297.26</v>
      </c>
      <c r="AY1" s="18">
        <f>AY309</f>
        <v>5128597.26</v>
      </c>
      <c r="BA1" s="18">
        <f>BA309</f>
        <v>0</v>
      </c>
      <c r="BB1" s="18">
        <f>BB309</f>
        <v>5128597.26</v>
      </c>
      <c r="BD1" s="18">
        <f>BD309</f>
        <v>428903</v>
      </c>
      <c r="BE1" s="18">
        <f>BE309</f>
        <v>5557500.2599999998</v>
      </c>
      <c r="BG1" s="18">
        <f>BG309</f>
        <v>0</v>
      </c>
      <c r="BH1" s="18">
        <f>BH309</f>
        <v>5557500.2599999998</v>
      </c>
      <c r="BJ1" s="18">
        <f>SUBTOTAL(9,BJ5:BJ303)</f>
        <v>11690796.140000002</v>
      </c>
      <c r="BM1" s="18">
        <f>SUBTOTAL(9,BM5:BM303)</f>
        <v>20509000</v>
      </c>
      <c r="BQ1" s="18">
        <f>SUBTOTAL(9,BQ5:BQ303)</f>
        <v>0</v>
      </c>
      <c r="BR1" s="18">
        <f>SUBTOTAL(9,BR5:BR303)</f>
        <v>20509000</v>
      </c>
      <c r="BT1" s="18">
        <f>SUBTOTAL(9,BT5:BT303)</f>
        <v>0</v>
      </c>
      <c r="BU1" s="18">
        <f>SUBTOTAL(9,BU5:BU303)</f>
        <v>20509000</v>
      </c>
      <c r="BW1" s="18">
        <f>SUBTOTAL(9,BW5:BW303)</f>
        <v>560732</v>
      </c>
      <c r="BX1" s="18">
        <f>SUBTOTAL(9,BX5:BX303)</f>
        <v>21069732</v>
      </c>
      <c r="BZ1" s="18">
        <f>SUBTOTAL(9,BZ5:BZ303)</f>
        <v>53000</v>
      </c>
      <c r="CA1" s="18">
        <f>SUBTOTAL(9,CA5:CA303)</f>
        <v>21122732</v>
      </c>
      <c r="CC1" s="18">
        <f>SUBTOTAL(9,CC5:CC303)</f>
        <v>483777.78</v>
      </c>
      <c r="CD1" s="18">
        <f>SUBTOTAL(9,CD5:CD303)</f>
        <v>21606509.780000001</v>
      </c>
      <c r="CF1" s="18">
        <f>SUBTOTAL(9,CF5:CF303)</f>
        <v>0</v>
      </c>
      <c r="CG1" s="18">
        <f>SUBTOTAL(9,CG5:CG303)</f>
        <v>21606509.780000001</v>
      </c>
      <c r="CI1" s="18">
        <f>SUBTOTAL(9,CI5:CI303)</f>
        <v>0</v>
      </c>
      <c r="CJ1" s="18">
        <f>SUBTOTAL(9,CJ5:CJ303)</f>
        <v>21606509.780000001</v>
      </c>
      <c r="CL1" s="207">
        <f>SUBTOTAL(9,CL5:CL303)</f>
        <v>0</v>
      </c>
      <c r="CM1" s="18">
        <f>SUBTOTAL(9,CM5:CM303)</f>
        <v>21606509.780000001</v>
      </c>
      <c r="CO1" s="18">
        <f>SUBTOTAL(9,CO5:CO303)</f>
        <v>304000</v>
      </c>
      <c r="CP1" s="18">
        <f>SUBTOTAL(9,CP5:CP303)</f>
        <v>21910509.780000001</v>
      </c>
      <c r="CR1" s="18">
        <f>SUBTOTAL(9,CR5:CR303)</f>
        <v>484000</v>
      </c>
      <c r="CS1" s="18">
        <f>SUBTOTAL(9,CS5:CS303)</f>
        <v>22394509.780000001</v>
      </c>
      <c r="CU1" s="18">
        <f>SUBTOTAL(9,CU5:CU303)</f>
        <v>-352600</v>
      </c>
      <c r="CV1" s="18">
        <f>SUBTOTAL(9,CV5:CV303)</f>
        <v>22041909.780000001</v>
      </c>
      <c r="CX1" s="18">
        <f>SUBTOTAL(9,CX5:CX303)</f>
        <v>0</v>
      </c>
      <c r="CY1" s="18">
        <f>SUBTOTAL(9,CY5:CY303)</f>
        <v>22041909.780000001</v>
      </c>
      <c r="DA1" s="18">
        <f>SUBTOTAL(9,DA5:DA303)</f>
        <v>23765183.449999996</v>
      </c>
      <c r="DC1" s="18">
        <f>SUBTOTAL(9,DC5:DC303)</f>
        <v>13829826.199999999</v>
      </c>
    </row>
    <row r="2" spans="1:107" s="415" customFormat="1" ht="19.5" thickBot="1">
      <c r="A2" s="411"/>
      <c r="B2" s="412"/>
      <c r="C2" s="413"/>
      <c r="D2" s="467">
        <v>2019</v>
      </c>
      <c r="E2" s="467"/>
      <c r="F2" s="467"/>
      <c r="G2" s="467"/>
      <c r="H2" s="467"/>
      <c r="I2" s="414">
        <v>1.2</v>
      </c>
      <c r="J2" s="414"/>
      <c r="L2" s="228">
        <v>2020</v>
      </c>
      <c r="Q2" s="228"/>
      <c r="S2" s="228">
        <v>5886800</v>
      </c>
      <c r="V2" s="416"/>
      <c r="AA2" s="228"/>
      <c r="AB2" s="228"/>
      <c r="AC2" s="417"/>
      <c r="AD2" s="417"/>
      <c r="AE2" s="228"/>
      <c r="AH2" s="228">
        <v>2020</v>
      </c>
      <c r="AK2" s="418">
        <v>2021</v>
      </c>
      <c r="AL2" s="419"/>
      <c r="AP2" s="420"/>
      <c r="BK2" s="421"/>
      <c r="BL2" s="421"/>
      <c r="BM2" s="418">
        <v>2022</v>
      </c>
      <c r="BN2" s="421"/>
      <c r="BO2" s="421"/>
      <c r="BQ2" s="418">
        <v>2022</v>
      </c>
      <c r="BR2" s="418">
        <v>2022</v>
      </c>
      <c r="BT2" s="418">
        <v>2022</v>
      </c>
      <c r="BU2" s="418">
        <v>2022</v>
      </c>
      <c r="BW2" s="418">
        <v>2022</v>
      </c>
      <c r="BX2" s="418">
        <v>2022</v>
      </c>
      <c r="BZ2" s="418">
        <v>2022</v>
      </c>
      <c r="CA2" s="418">
        <v>2022</v>
      </c>
      <c r="CC2" s="418">
        <v>2022</v>
      </c>
      <c r="CD2" s="418">
        <v>2022</v>
      </c>
      <c r="CF2" s="418">
        <v>2022</v>
      </c>
      <c r="CG2" s="418">
        <v>2022</v>
      </c>
      <c r="CH2" s="422"/>
      <c r="CI2" s="418">
        <v>2022</v>
      </c>
      <c r="CJ2" s="418">
        <v>2022</v>
      </c>
      <c r="CL2" s="423">
        <v>2022</v>
      </c>
      <c r="CM2" s="418">
        <v>2022</v>
      </c>
      <c r="CO2" s="418">
        <v>2022</v>
      </c>
      <c r="CP2" s="418">
        <v>2022</v>
      </c>
      <c r="CR2" s="418">
        <v>2022</v>
      </c>
      <c r="CS2" s="418">
        <v>2022</v>
      </c>
      <c r="CU2" s="387">
        <v>2022</v>
      </c>
      <c r="CV2" s="236">
        <v>2022</v>
      </c>
      <c r="CW2"/>
      <c r="CX2" s="387">
        <v>2022</v>
      </c>
      <c r="CY2" s="236">
        <v>2022</v>
      </c>
      <c r="DA2" s="418">
        <v>2022</v>
      </c>
      <c r="DC2" s="418">
        <v>2023</v>
      </c>
    </row>
    <row r="3" spans="1:107" ht="45.75" thickBot="1">
      <c r="A3" s="1" t="s">
        <v>0</v>
      </c>
      <c r="B3" s="1" t="s">
        <v>0</v>
      </c>
      <c r="C3" s="4" t="s">
        <v>0</v>
      </c>
      <c r="D3" s="50" t="s">
        <v>1</v>
      </c>
      <c r="E3" s="35" t="s">
        <v>0</v>
      </c>
      <c r="F3" s="50" t="s">
        <v>2</v>
      </c>
      <c r="G3" s="35" t="s">
        <v>0</v>
      </c>
      <c r="H3" s="54" t="s">
        <v>285</v>
      </c>
      <c r="I3" s="59" t="s">
        <v>289</v>
      </c>
      <c r="J3" s="16"/>
      <c r="K3" s="48" t="s">
        <v>335</v>
      </c>
      <c r="L3" s="135" t="s">
        <v>2</v>
      </c>
      <c r="M3" t="s">
        <v>291</v>
      </c>
      <c r="N3" t="s">
        <v>293</v>
      </c>
      <c r="S3" s="134" t="s">
        <v>410</v>
      </c>
      <c r="AA3" s="465" t="s">
        <v>418</v>
      </c>
      <c r="AB3" s="466"/>
      <c r="AE3" s="465" t="s">
        <v>442</v>
      </c>
      <c r="AF3" s="466"/>
      <c r="AH3" s="274">
        <v>2020</v>
      </c>
      <c r="AI3" t="s">
        <v>454</v>
      </c>
      <c r="AK3" s="235" t="s">
        <v>458</v>
      </c>
      <c r="AL3" s="207" t="s">
        <v>461</v>
      </c>
      <c r="AM3" t="s">
        <v>459</v>
      </c>
      <c r="AN3" t="s">
        <v>460</v>
      </c>
      <c r="AP3" s="260" t="s">
        <v>473</v>
      </c>
      <c r="AR3" t="s">
        <v>401</v>
      </c>
      <c r="AU3" s="18" t="s">
        <v>411</v>
      </c>
      <c r="AX3" s="18" t="s">
        <v>416</v>
      </c>
      <c r="BA3" s="18" t="s">
        <v>495</v>
      </c>
      <c r="BD3" s="18" t="s">
        <v>418</v>
      </c>
      <c r="BG3" s="18" t="s">
        <v>501</v>
      </c>
      <c r="BJ3" s="275">
        <v>2021</v>
      </c>
      <c r="BM3" s="235" t="s">
        <v>555</v>
      </c>
      <c r="BQ3" s="362" t="s">
        <v>473</v>
      </c>
      <c r="BR3" s="362" t="s">
        <v>555</v>
      </c>
      <c r="BS3" s="157"/>
      <c r="BT3" s="362" t="s">
        <v>561</v>
      </c>
      <c r="BU3" s="362" t="s">
        <v>555</v>
      </c>
      <c r="BV3" s="157"/>
      <c r="BW3" s="362" t="s">
        <v>401</v>
      </c>
      <c r="BX3" s="362" t="s">
        <v>555</v>
      </c>
      <c r="BZ3" s="362" t="s">
        <v>411</v>
      </c>
      <c r="CA3" s="362" t="s">
        <v>555</v>
      </c>
      <c r="CC3" s="362" t="s">
        <v>416</v>
      </c>
      <c r="CD3" s="362" t="s">
        <v>555</v>
      </c>
      <c r="CF3" s="383" t="s">
        <v>567</v>
      </c>
      <c r="CG3" s="362" t="s">
        <v>555</v>
      </c>
      <c r="CI3" s="383" t="s">
        <v>569</v>
      </c>
      <c r="CJ3" s="362" t="s">
        <v>555</v>
      </c>
      <c r="CL3" s="383" t="s">
        <v>570</v>
      </c>
      <c r="CM3" s="362" t="s">
        <v>555</v>
      </c>
      <c r="CO3" s="383" t="s">
        <v>418</v>
      </c>
      <c r="CP3" s="362" t="s">
        <v>555</v>
      </c>
      <c r="CR3" s="382" t="s">
        <v>442</v>
      </c>
      <c r="CS3" s="362" t="s">
        <v>555</v>
      </c>
      <c r="CU3" s="382" t="s">
        <v>446</v>
      </c>
      <c r="CV3" s="362" t="s">
        <v>555</v>
      </c>
      <c r="CX3" s="382" t="s">
        <v>582</v>
      </c>
      <c r="CY3" s="362" t="s">
        <v>555</v>
      </c>
      <c r="DA3" s="382" t="s">
        <v>448</v>
      </c>
      <c r="DC3" s="382" t="s">
        <v>458</v>
      </c>
    </row>
    <row r="4" spans="1:107" s="157" customFormat="1" ht="49.5" customHeight="1" thickBot="1">
      <c r="A4" s="363" t="s">
        <v>4</v>
      </c>
      <c r="B4" s="363" t="s">
        <v>5</v>
      </c>
      <c r="C4" s="364" t="s">
        <v>6</v>
      </c>
      <c r="D4" s="365" t="s">
        <v>7</v>
      </c>
      <c r="E4" s="366" t="s">
        <v>8</v>
      </c>
      <c r="F4" s="365" t="s">
        <v>9</v>
      </c>
      <c r="G4" s="366" t="s">
        <v>8</v>
      </c>
      <c r="H4" s="367" t="s">
        <v>313</v>
      </c>
      <c r="I4" s="368" t="s">
        <v>290</v>
      </c>
      <c r="J4" s="157" t="s">
        <v>392</v>
      </c>
      <c r="L4" s="369"/>
      <c r="M4" s="157" t="s">
        <v>292</v>
      </c>
      <c r="N4" s="157" t="s">
        <v>294</v>
      </c>
      <c r="O4" s="157" t="s">
        <v>392</v>
      </c>
      <c r="Q4" s="172" t="s">
        <v>401</v>
      </c>
      <c r="R4" s="173" t="s">
        <v>409</v>
      </c>
      <c r="S4" s="172" t="s">
        <v>411</v>
      </c>
      <c r="T4" s="173" t="s">
        <v>413</v>
      </c>
      <c r="U4" s="173" t="s">
        <v>412</v>
      </c>
      <c r="V4" s="370"/>
      <c r="Y4" s="371" t="s">
        <v>416</v>
      </c>
      <c r="AA4" s="172" t="s">
        <v>418</v>
      </c>
      <c r="AB4" s="172"/>
      <c r="AC4" s="372" t="s">
        <v>440</v>
      </c>
      <c r="AD4" s="372"/>
      <c r="AE4" s="172" t="s">
        <v>442</v>
      </c>
      <c r="AF4" s="373" t="s">
        <v>443</v>
      </c>
      <c r="AH4" s="374" t="s">
        <v>448</v>
      </c>
      <c r="AK4" s="172"/>
      <c r="AL4" s="375"/>
      <c r="AP4" s="376"/>
      <c r="AR4" s="157" t="s">
        <v>474</v>
      </c>
      <c r="AS4" s="157" t="s">
        <v>475</v>
      </c>
      <c r="AU4" s="173" t="s">
        <v>474</v>
      </c>
      <c r="AV4" s="157" t="s">
        <v>475</v>
      </c>
      <c r="AX4" s="173" t="s">
        <v>474</v>
      </c>
      <c r="AY4" s="157" t="s">
        <v>475</v>
      </c>
      <c r="BA4" s="173" t="s">
        <v>474</v>
      </c>
      <c r="BB4" s="157" t="s">
        <v>475</v>
      </c>
      <c r="BD4" s="173" t="s">
        <v>474</v>
      </c>
      <c r="BE4" s="157" t="s">
        <v>475</v>
      </c>
      <c r="BG4" s="173" t="s">
        <v>474</v>
      </c>
      <c r="BH4" s="157" t="s">
        <v>475</v>
      </c>
      <c r="BJ4" s="377" t="s">
        <v>448</v>
      </c>
      <c r="BK4" s="378" t="s">
        <v>506</v>
      </c>
      <c r="BL4" s="379"/>
      <c r="BM4" s="374"/>
      <c r="BN4" s="379" t="s">
        <v>507</v>
      </c>
      <c r="BO4" s="379" t="s">
        <v>508</v>
      </c>
      <c r="BQ4" s="374" t="s">
        <v>474</v>
      </c>
      <c r="BR4" s="374" t="s">
        <v>475</v>
      </c>
      <c r="BT4" s="374" t="s">
        <v>474</v>
      </c>
      <c r="BU4" s="374" t="s">
        <v>475</v>
      </c>
      <c r="BW4" s="374" t="s">
        <v>474</v>
      </c>
      <c r="BX4" s="374" t="s">
        <v>475</v>
      </c>
      <c r="BZ4" s="374" t="s">
        <v>474</v>
      </c>
      <c r="CA4" s="374" t="s">
        <v>475</v>
      </c>
      <c r="CC4" s="374" t="s">
        <v>474</v>
      </c>
      <c r="CD4" s="374" t="s">
        <v>475</v>
      </c>
      <c r="CF4" s="374" t="s">
        <v>474</v>
      </c>
      <c r="CG4" s="374" t="s">
        <v>475</v>
      </c>
      <c r="CH4" s="386"/>
      <c r="CI4" s="374" t="s">
        <v>474</v>
      </c>
      <c r="CJ4" s="374" t="s">
        <v>475</v>
      </c>
      <c r="CL4" s="390" t="s">
        <v>474</v>
      </c>
      <c r="CM4" s="374" t="s">
        <v>475</v>
      </c>
      <c r="CO4" s="377" t="s">
        <v>474</v>
      </c>
      <c r="CP4" s="374" t="s">
        <v>475</v>
      </c>
      <c r="CR4" s="377" t="s">
        <v>474</v>
      </c>
      <c r="CS4" s="374" t="s">
        <v>475</v>
      </c>
      <c r="CU4" s="377" t="s">
        <v>474</v>
      </c>
      <c r="CV4" s="374" t="s">
        <v>475</v>
      </c>
      <c r="CX4" s="377" t="s">
        <v>474</v>
      </c>
      <c r="CY4" s="374" t="s">
        <v>475</v>
      </c>
      <c r="DA4" s="377" t="s">
        <v>474</v>
      </c>
      <c r="DC4" s="377" t="s">
        <v>474</v>
      </c>
    </row>
    <row r="5" spans="1:107" outlineLevel="1">
      <c r="A5" s="3" t="s">
        <v>108</v>
      </c>
      <c r="B5" s="3" t="s">
        <v>109</v>
      </c>
      <c r="C5" s="5" t="s">
        <v>110</v>
      </c>
      <c r="D5" s="51">
        <v>10000</v>
      </c>
      <c r="E5" s="36">
        <v>0</v>
      </c>
      <c r="F5" s="51">
        <v>0</v>
      </c>
      <c r="G5" s="36">
        <v>0</v>
      </c>
      <c r="H5" s="55">
        <v>0</v>
      </c>
      <c r="I5" s="40">
        <v>0</v>
      </c>
      <c r="J5" s="17"/>
      <c r="K5" t="s">
        <v>336</v>
      </c>
      <c r="L5" s="137">
        <v>10000</v>
      </c>
      <c r="M5" s="20" t="e">
        <f>L5/F5-1</f>
        <v>#DIV/0!</v>
      </c>
      <c r="N5" s="20" t="e">
        <f>L5/I5-1</f>
        <v>#DIV/0!</v>
      </c>
      <c r="Q5" s="134">
        <v>10000</v>
      </c>
      <c r="R5" s="18">
        <v>0</v>
      </c>
      <c r="S5" s="134">
        <v>10000</v>
      </c>
      <c r="T5" s="177">
        <f>S5-Q5</f>
        <v>0</v>
      </c>
      <c r="U5" s="19">
        <f>S5/Q5-1</f>
        <v>0</v>
      </c>
      <c r="Y5" s="134">
        <v>10000</v>
      </c>
      <c r="AA5" s="134">
        <v>9000</v>
      </c>
      <c r="AB5" s="216">
        <f>AA5-Y5</f>
        <v>-1000</v>
      </c>
      <c r="AC5" s="219">
        <f>AA5-Y5</f>
        <v>-1000</v>
      </c>
      <c r="AD5" s="219"/>
      <c r="AE5" s="134">
        <v>9000</v>
      </c>
      <c r="AF5" s="213"/>
      <c r="AH5" s="18">
        <v>9000</v>
      </c>
      <c r="AI5" s="20">
        <f>AH5/AE5</f>
        <v>1</v>
      </c>
      <c r="AK5" s="134">
        <v>10000</v>
      </c>
      <c r="AS5" s="18">
        <f>AR5+AK5</f>
        <v>10000</v>
      </c>
      <c r="AV5" s="18">
        <f>AS5+AU5</f>
        <v>10000</v>
      </c>
      <c r="AX5" s="18"/>
      <c r="AY5" s="18">
        <f>AV5+AX5</f>
        <v>10000</v>
      </c>
      <c r="BB5" s="18">
        <f>AY5+BA5</f>
        <v>10000</v>
      </c>
      <c r="BD5" s="18">
        <v>-1000</v>
      </c>
      <c r="BE5" s="18">
        <f>BB5+BD5</f>
        <v>9000</v>
      </c>
      <c r="BG5" s="18"/>
      <c r="BH5" s="18">
        <f>BE5+BG5</f>
        <v>9000</v>
      </c>
      <c r="BJ5" s="18">
        <v>9000</v>
      </c>
      <c r="BK5" s="279">
        <f>BJ5/BH5</f>
        <v>1</v>
      </c>
      <c r="BM5" s="289">
        <v>10000</v>
      </c>
      <c r="BN5" s="279">
        <f>BM5/BJ5</f>
        <v>1.1111111111111112</v>
      </c>
      <c r="BO5" s="279">
        <f>BM5/BH5</f>
        <v>1.1111111111111112</v>
      </c>
      <c r="BQ5" s="289"/>
      <c r="BR5" s="18">
        <f>BM5+BQ5</f>
        <v>10000</v>
      </c>
      <c r="BT5" s="289"/>
      <c r="BU5" s="18">
        <f>BR5+BT5</f>
        <v>10000</v>
      </c>
      <c r="BW5" s="289"/>
      <c r="BX5" s="18">
        <f>BU5+BW5</f>
        <v>10000</v>
      </c>
      <c r="BZ5" s="289"/>
      <c r="CA5" s="18">
        <f>BX5+BZ5</f>
        <v>10000</v>
      </c>
      <c r="CC5" s="289"/>
      <c r="CD5" s="18">
        <f>CA5+CC5</f>
        <v>10000</v>
      </c>
      <c r="CF5" s="289"/>
      <c r="CG5" s="18">
        <f>CD5+CF5</f>
        <v>10000</v>
      </c>
      <c r="CI5" s="289"/>
      <c r="CJ5" s="18">
        <f>CG5+CI5</f>
        <v>10000</v>
      </c>
      <c r="CM5" s="18">
        <f>CJ5+CL5</f>
        <v>10000</v>
      </c>
      <c r="CP5" s="18">
        <f>CM5+CO5</f>
        <v>10000</v>
      </c>
      <c r="CS5" s="18">
        <f>CP5+CR5</f>
        <v>10000</v>
      </c>
      <c r="CV5" s="18">
        <f>CS5+CU5</f>
        <v>10000</v>
      </c>
      <c r="CY5" s="18">
        <f>CV5+CX5</f>
        <v>10000</v>
      </c>
      <c r="DA5" s="289">
        <v>10000</v>
      </c>
      <c r="DC5" s="289">
        <v>10000</v>
      </c>
    </row>
    <row r="6" spans="1:107" outlineLevel="1">
      <c r="A6" s="14" t="s">
        <v>108</v>
      </c>
      <c r="B6" s="4" t="s">
        <v>46</v>
      </c>
      <c r="C6" s="4" t="s">
        <v>111</v>
      </c>
      <c r="D6" s="52">
        <v>10000</v>
      </c>
      <c r="E6" s="37">
        <v>0</v>
      </c>
      <c r="F6" s="52">
        <v>0</v>
      </c>
      <c r="G6" s="37">
        <v>0</v>
      </c>
      <c r="H6" s="56">
        <v>0</v>
      </c>
      <c r="I6" s="40"/>
      <c r="J6" s="17"/>
      <c r="Y6" s="134"/>
      <c r="AF6" s="213"/>
      <c r="AH6" s="18"/>
      <c r="AX6" s="18"/>
      <c r="BD6" s="18"/>
      <c r="BG6" s="18"/>
    </row>
    <row r="7" spans="1:107" outlineLevel="1">
      <c r="A7" s="14" t="s">
        <v>112</v>
      </c>
      <c r="B7" s="4" t="s">
        <v>48</v>
      </c>
      <c r="C7" s="4" t="s">
        <v>113</v>
      </c>
      <c r="D7" s="52">
        <v>10000</v>
      </c>
      <c r="E7" s="37">
        <v>0</v>
      </c>
      <c r="F7" s="52">
        <v>0</v>
      </c>
      <c r="G7" s="37">
        <v>0</v>
      </c>
      <c r="H7" s="56">
        <v>0</v>
      </c>
      <c r="I7" s="40"/>
      <c r="J7" s="17"/>
      <c r="Y7" s="134"/>
      <c r="AF7" s="213"/>
      <c r="AH7" s="18"/>
      <c r="AX7" s="18"/>
      <c r="BD7" s="18"/>
      <c r="BG7" s="18"/>
    </row>
    <row r="8" spans="1:107" ht="15.75" thickBot="1">
      <c r="A8" s="70" t="s">
        <v>108</v>
      </c>
      <c r="B8" s="71" t="s">
        <v>320</v>
      </c>
      <c r="C8" s="338" t="s">
        <v>111</v>
      </c>
      <c r="D8" s="73">
        <f>D5</f>
        <v>10000</v>
      </c>
      <c r="E8" s="74"/>
      <c r="F8" s="73">
        <f>F5</f>
        <v>0</v>
      </c>
      <c r="G8" s="74"/>
      <c r="H8" s="73"/>
      <c r="I8" s="73">
        <f>I5</f>
        <v>0</v>
      </c>
      <c r="J8" s="75"/>
      <c r="K8" s="76"/>
      <c r="L8" s="138">
        <f>L5</f>
        <v>10000</v>
      </c>
      <c r="M8" s="77" t="e">
        <f>L8/F8-1</f>
        <v>#DIV/0!</v>
      </c>
      <c r="N8" s="77" t="e">
        <f>L8/I8-1</f>
        <v>#DIV/0!</v>
      </c>
      <c r="Q8" s="138">
        <f>Q5</f>
        <v>10000</v>
      </c>
      <c r="R8" s="138">
        <f>R5</f>
        <v>0</v>
      </c>
      <c r="S8" s="138">
        <f>S5</f>
        <v>10000</v>
      </c>
      <c r="T8" s="138">
        <f>T5</f>
        <v>0</v>
      </c>
      <c r="U8" s="175">
        <f>S8/Q8-1</f>
        <v>0</v>
      </c>
      <c r="Y8" s="138">
        <f>Y5</f>
        <v>10000</v>
      </c>
      <c r="Z8" s="138">
        <f>Z5</f>
        <v>0</v>
      </c>
      <c r="AA8" s="138">
        <f>AA5</f>
        <v>9000</v>
      </c>
      <c r="AB8" s="138">
        <f>AB5</f>
        <v>-1000</v>
      </c>
      <c r="AE8" s="138">
        <f>AE5</f>
        <v>9000</v>
      </c>
      <c r="AF8" s="213"/>
      <c r="AH8" s="138">
        <f>AH5</f>
        <v>9000</v>
      </c>
      <c r="AI8" s="20">
        <f>AH8/AE8</f>
        <v>1</v>
      </c>
      <c r="AK8" s="138">
        <f>AK5</f>
        <v>10000</v>
      </c>
      <c r="AL8" s="229">
        <f>AK8/L8</f>
        <v>1</v>
      </c>
      <c r="AM8" s="20">
        <f>AK8/AE8</f>
        <v>1.1111111111111112</v>
      </c>
      <c r="AN8" s="20">
        <f>AK8/AH8</f>
        <v>1.1111111111111112</v>
      </c>
      <c r="AR8" s="138">
        <f>AR5</f>
        <v>0</v>
      </c>
      <c r="AS8" s="138">
        <f>AS5</f>
        <v>10000</v>
      </c>
      <c r="AU8" s="138">
        <f>AU5</f>
        <v>0</v>
      </c>
      <c r="AV8" s="138">
        <f>AV5</f>
        <v>10000</v>
      </c>
      <c r="AX8" s="138">
        <f>AX5</f>
        <v>0</v>
      </c>
      <c r="AY8" s="138">
        <f>AY5</f>
        <v>10000</v>
      </c>
      <c r="BA8" s="138">
        <f>BA5</f>
        <v>0</v>
      </c>
      <c r="BB8" s="138">
        <f>BB5</f>
        <v>10000</v>
      </c>
      <c r="BD8" s="138">
        <f>BD5</f>
        <v>-1000</v>
      </c>
      <c r="BE8" s="138">
        <f>BE5</f>
        <v>9000</v>
      </c>
      <c r="BG8" s="138">
        <f>BG5</f>
        <v>0</v>
      </c>
      <c r="BH8" s="138">
        <f>BH5</f>
        <v>9000</v>
      </c>
      <c r="BJ8" s="138">
        <f>BJ5</f>
        <v>9000</v>
      </c>
      <c r="BK8" s="280">
        <f t="shared" ref="BK8" si="0">BJ8/BH8</f>
        <v>1</v>
      </c>
      <c r="BM8" s="138">
        <f>BM5</f>
        <v>10000</v>
      </c>
      <c r="BN8" s="280">
        <f t="shared" ref="BN8" si="1">BM8/BJ8</f>
        <v>1.1111111111111112</v>
      </c>
      <c r="BO8" s="280">
        <f t="shared" ref="BO8" si="2">BM8/BH8</f>
        <v>1.1111111111111112</v>
      </c>
      <c r="BQ8" s="138">
        <f>BQ5</f>
        <v>0</v>
      </c>
      <c r="BR8" s="138">
        <f>BR5</f>
        <v>10000</v>
      </c>
      <c r="BT8" s="138">
        <f>BT5</f>
        <v>0</v>
      </c>
      <c r="BU8" s="138">
        <f>BU5</f>
        <v>10000</v>
      </c>
      <c r="BW8" s="138">
        <f>BW5</f>
        <v>0</v>
      </c>
      <c r="BX8" s="138">
        <f>BX5</f>
        <v>10000</v>
      </c>
      <c r="BZ8" s="138">
        <f>BZ5</f>
        <v>0</v>
      </c>
      <c r="CA8" s="138">
        <f>CA5</f>
        <v>10000</v>
      </c>
      <c r="CC8" s="138">
        <f>CC5</f>
        <v>0</v>
      </c>
      <c r="CD8" s="138">
        <f>CD5</f>
        <v>10000</v>
      </c>
      <c r="CF8" s="138">
        <f>CF5</f>
        <v>0</v>
      </c>
      <c r="CG8" s="138">
        <f>CG5</f>
        <v>10000</v>
      </c>
      <c r="CI8" s="138">
        <f>CI5</f>
        <v>0</v>
      </c>
      <c r="CJ8" s="138">
        <f>CJ5</f>
        <v>10000</v>
      </c>
      <c r="CL8" s="391">
        <f>CL5</f>
        <v>0</v>
      </c>
      <c r="CM8" s="138">
        <f>CM5</f>
        <v>10000</v>
      </c>
      <c r="CO8" s="138">
        <f>CO5</f>
        <v>0</v>
      </c>
      <c r="CP8" s="138">
        <f>CP5</f>
        <v>10000</v>
      </c>
      <c r="CR8" s="138">
        <f>CR5</f>
        <v>0</v>
      </c>
      <c r="CS8" s="138">
        <f>CS5</f>
        <v>10000</v>
      </c>
      <c r="CU8" s="138">
        <f>CU5</f>
        <v>0</v>
      </c>
      <c r="CV8" s="138">
        <f>CV5</f>
        <v>10000</v>
      </c>
      <c r="CX8" s="138">
        <f>CX5</f>
        <v>0</v>
      </c>
      <c r="CY8" s="138">
        <f>CY5</f>
        <v>10000</v>
      </c>
      <c r="DA8" s="138">
        <f>DA5</f>
        <v>10000</v>
      </c>
      <c r="DC8" s="138">
        <f>DC5</f>
        <v>10000</v>
      </c>
    </row>
    <row r="9" spans="1:107" ht="15.75" outlineLevel="1" thickTop="1">
      <c r="A9" s="14" t="s">
        <v>301</v>
      </c>
      <c r="B9" s="14" t="s">
        <v>117</v>
      </c>
      <c r="C9" s="4" t="s">
        <v>118</v>
      </c>
      <c r="D9" s="52">
        <v>0</v>
      </c>
      <c r="E9" s="37">
        <v>0</v>
      </c>
      <c r="F9" s="52">
        <v>0</v>
      </c>
      <c r="G9" s="37">
        <v>0</v>
      </c>
      <c r="H9" s="56">
        <v>16335</v>
      </c>
      <c r="I9" s="40">
        <v>16335</v>
      </c>
      <c r="J9" s="17"/>
      <c r="M9" s="20" t="e">
        <f>L9/F9-1</f>
        <v>#DIV/0!</v>
      </c>
      <c r="N9" s="20">
        <f>L9/I9-1</f>
        <v>-1</v>
      </c>
      <c r="AF9" s="213"/>
      <c r="AH9" s="18"/>
      <c r="AK9" s="134">
        <v>25000</v>
      </c>
      <c r="AS9" s="18">
        <f t="shared" ref="AS9:AS17" si="3">AR9+AK9</f>
        <v>25000</v>
      </c>
      <c r="AU9" s="18">
        <v>14000</v>
      </c>
      <c r="AV9" s="18">
        <f t="shared" ref="AV9:AV11" si="4">AS9+AU9</f>
        <v>39000</v>
      </c>
      <c r="AX9" s="18"/>
      <c r="AY9" s="18">
        <f t="shared" ref="AY9:AY11" si="5">AV9+AX9</f>
        <v>39000</v>
      </c>
      <c r="BB9" s="18">
        <f t="shared" ref="BB9:BB11" si="6">AY9+BA9</f>
        <v>39000</v>
      </c>
      <c r="BD9" s="18">
        <v>21000</v>
      </c>
      <c r="BE9" s="18">
        <f t="shared" ref="BE9:BE11" si="7">BB9+BD9</f>
        <v>60000</v>
      </c>
      <c r="BG9" s="18"/>
      <c r="BH9" s="18">
        <f t="shared" ref="BH9:BH11" si="8">BE9+BG9</f>
        <v>60000</v>
      </c>
      <c r="BJ9" s="18">
        <v>47574.78</v>
      </c>
      <c r="BK9" s="279">
        <f t="shared" ref="BK9:BK10" si="9">BJ9/BH9</f>
        <v>0.79291299999999998</v>
      </c>
      <c r="BM9" s="289">
        <v>5000</v>
      </c>
      <c r="BN9" s="279">
        <f t="shared" ref="BN9:BN10" si="10">BM9/BJ9</f>
        <v>0.10509770092473365</v>
      </c>
      <c r="BO9" s="279">
        <f t="shared" ref="BO9:BO10" si="11">BM9/BH9</f>
        <v>8.3333333333333329E-2</v>
      </c>
      <c r="BQ9" s="289"/>
      <c r="BR9" s="18">
        <f>BM9+BQ9</f>
        <v>5000</v>
      </c>
      <c r="BT9" s="289"/>
      <c r="BU9" s="18">
        <f>BR9+BT9</f>
        <v>5000</v>
      </c>
      <c r="BW9" s="289"/>
      <c r="BX9" s="18">
        <f>BU9+BW9</f>
        <v>5000</v>
      </c>
      <c r="BZ9" s="289"/>
      <c r="CA9" s="18">
        <f>BX9+BZ9</f>
        <v>5000</v>
      </c>
      <c r="CC9" s="289"/>
      <c r="CD9" s="18">
        <f>CA9+CC9</f>
        <v>5000</v>
      </c>
      <c r="CF9" s="289"/>
      <c r="CG9" s="18">
        <f>CD9+CF9</f>
        <v>5000</v>
      </c>
      <c r="CI9" s="289"/>
      <c r="CJ9" s="18">
        <f>CG9+CI9</f>
        <v>5000</v>
      </c>
      <c r="CM9" s="18">
        <f>CJ9+CL9</f>
        <v>5000</v>
      </c>
      <c r="CO9" s="327"/>
      <c r="CP9" s="18">
        <f>CM9+CO9</f>
        <v>5000</v>
      </c>
      <c r="CS9" s="18">
        <f>CP9+CR9</f>
        <v>5000</v>
      </c>
      <c r="CU9" s="349">
        <v>-500</v>
      </c>
      <c r="CV9" s="18">
        <f>CS9+CU9</f>
        <v>4500</v>
      </c>
      <c r="CX9" s="349"/>
      <c r="CY9" s="18">
        <f>CV9+CX9</f>
        <v>4500</v>
      </c>
      <c r="DA9" s="289">
        <v>4235</v>
      </c>
      <c r="DC9" s="289">
        <v>20000</v>
      </c>
    </row>
    <row r="10" spans="1:107" outlineLevel="1">
      <c r="A10" s="198" t="s">
        <v>301</v>
      </c>
      <c r="B10" s="198" t="s">
        <v>119</v>
      </c>
      <c r="C10" s="4" t="s">
        <v>120</v>
      </c>
      <c r="D10" s="52"/>
      <c r="E10" s="37"/>
      <c r="F10" s="52"/>
      <c r="G10" s="37"/>
      <c r="H10" s="56"/>
      <c r="I10" s="40"/>
      <c r="J10" s="17"/>
      <c r="M10" s="20"/>
      <c r="N10" s="20"/>
      <c r="AA10" s="134">
        <v>7350</v>
      </c>
      <c r="AB10" s="216">
        <f>AA10-Y10</f>
        <v>7350</v>
      </c>
      <c r="AC10" s="219">
        <f t="shared" ref="AC10:AC11" si="12">AA10-Y10</f>
        <v>7350</v>
      </c>
      <c r="AD10" s="219"/>
      <c r="AE10" s="134">
        <v>7350</v>
      </c>
      <c r="AF10" s="213"/>
      <c r="AH10" s="18">
        <v>7344</v>
      </c>
      <c r="AI10" s="20">
        <f t="shared" ref="AI10:AI11" si="13">AH10/AE10</f>
        <v>0.99918367346938775</v>
      </c>
      <c r="AK10" s="134">
        <f>25000*1.21+8*5500+250</f>
        <v>74500</v>
      </c>
      <c r="AS10" s="18">
        <f t="shared" si="3"/>
        <v>74500</v>
      </c>
      <c r="AV10" s="18">
        <f t="shared" si="4"/>
        <v>74500</v>
      </c>
      <c r="AX10" s="18"/>
      <c r="AY10" s="18">
        <f t="shared" si="5"/>
        <v>74500</v>
      </c>
      <c r="BB10" s="18">
        <f t="shared" si="6"/>
        <v>74500</v>
      </c>
      <c r="BD10" s="18">
        <v>525500</v>
      </c>
      <c r="BE10" s="18">
        <f t="shared" si="7"/>
        <v>600000</v>
      </c>
      <c r="BG10" s="18">
        <v>3200</v>
      </c>
      <c r="BH10" s="18">
        <f t="shared" si="8"/>
        <v>603200</v>
      </c>
      <c r="BJ10" s="18">
        <v>603114.38</v>
      </c>
      <c r="BK10" s="279">
        <f t="shared" si="9"/>
        <v>0.99985805702917774</v>
      </c>
      <c r="BM10" s="289">
        <v>130000</v>
      </c>
      <c r="BN10" s="279">
        <f t="shared" si="10"/>
        <v>0.21554783687963136</v>
      </c>
      <c r="BO10" s="279">
        <f t="shared" si="11"/>
        <v>0.21551724137931033</v>
      </c>
      <c r="BP10" t="s">
        <v>524</v>
      </c>
      <c r="BQ10" s="289"/>
      <c r="BR10" s="18">
        <f>BM10+BQ10</f>
        <v>130000</v>
      </c>
      <c r="BT10" s="289"/>
      <c r="BU10" s="18">
        <f>BR10+BT10</f>
        <v>130000</v>
      </c>
      <c r="BW10" s="289"/>
      <c r="BX10" s="18">
        <f>BU10+BW10</f>
        <v>130000</v>
      </c>
      <c r="BZ10" s="289"/>
      <c r="CA10" s="18">
        <f>BX10+BZ10</f>
        <v>130000</v>
      </c>
      <c r="CC10" s="289"/>
      <c r="CD10" s="18">
        <f>CA10+CC10</f>
        <v>130000</v>
      </c>
      <c r="CF10" s="289"/>
      <c r="CG10" s="18">
        <f>CD10+CF10</f>
        <v>130000</v>
      </c>
      <c r="CI10" s="289"/>
      <c r="CJ10" s="18">
        <f>CG10+CI10</f>
        <v>130000</v>
      </c>
      <c r="CL10" s="327">
        <v>0</v>
      </c>
      <c r="CM10" s="18">
        <f>CJ10+CL10</f>
        <v>130000</v>
      </c>
      <c r="CO10" s="327"/>
      <c r="CP10" s="18">
        <f>CM10+CO10</f>
        <v>130000</v>
      </c>
      <c r="CQ10" s="271"/>
      <c r="CR10" s="327"/>
      <c r="CS10" s="18">
        <f>CP10+CR10</f>
        <v>130000</v>
      </c>
      <c r="CU10" s="349">
        <v>-130000</v>
      </c>
      <c r="CV10" s="18">
        <f>CS10+CU10</f>
        <v>0</v>
      </c>
      <c r="CX10" s="349"/>
      <c r="CY10" s="18">
        <f>CV10+CX10</f>
        <v>0</v>
      </c>
      <c r="DA10" s="327"/>
      <c r="DC10" s="327"/>
    </row>
    <row r="11" spans="1:107" outlineLevel="1">
      <c r="A11" s="14" t="s">
        <v>301</v>
      </c>
      <c r="B11" s="14" t="s">
        <v>210</v>
      </c>
      <c r="C11" s="4" t="s">
        <v>331</v>
      </c>
      <c r="D11" s="52"/>
      <c r="E11" s="37"/>
      <c r="F11" s="52"/>
      <c r="G11" s="37"/>
      <c r="H11" s="56"/>
      <c r="I11" s="40"/>
      <c r="J11" s="17"/>
      <c r="L11" s="134">
        <f>'[1]2020'!$Q$51</f>
        <v>100000</v>
      </c>
      <c r="M11" s="20" t="e">
        <f>L11/F11-1</f>
        <v>#DIV/0!</v>
      </c>
      <c r="N11" s="20" t="e">
        <f>L11/I11-1</f>
        <v>#DIV/0!</v>
      </c>
      <c r="Q11" s="134">
        <v>100000</v>
      </c>
      <c r="R11" s="18">
        <v>14800</v>
      </c>
      <c r="S11" s="134">
        <v>59000</v>
      </c>
      <c r="T11" s="177">
        <f>S11-Q11</f>
        <v>-41000</v>
      </c>
      <c r="U11" s="19">
        <f>S11/Q11-1</f>
        <v>-0.41000000000000003</v>
      </c>
      <c r="Y11" s="134">
        <v>59000</v>
      </c>
      <c r="AA11" s="134">
        <v>71200</v>
      </c>
      <c r="AB11" s="216">
        <f>AA11-Y11</f>
        <v>12200</v>
      </c>
      <c r="AC11" s="219">
        <f t="shared" si="12"/>
        <v>12200</v>
      </c>
      <c r="AD11" s="219"/>
      <c r="AE11" s="134">
        <v>71200</v>
      </c>
      <c r="AF11" s="213"/>
      <c r="AH11" s="18">
        <v>71065</v>
      </c>
      <c r="AI11" s="20">
        <f t="shared" si="13"/>
        <v>0.99810393258426966</v>
      </c>
      <c r="AK11" s="134">
        <v>456300</v>
      </c>
      <c r="AS11" s="18">
        <f t="shared" si="3"/>
        <v>456300</v>
      </c>
      <c r="AV11" s="18">
        <f t="shared" si="4"/>
        <v>456300</v>
      </c>
      <c r="AX11" s="18"/>
      <c r="AY11" s="18">
        <f t="shared" si="5"/>
        <v>456300</v>
      </c>
      <c r="BA11" s="269">
        <v>-33000</v>
      </c>
      <c r="BB11" s="18">
        <f t="shared" si="6"/>
        <v>423300</v>
      </c>
      <c r="BD11" s="18">
        <v>-423300</v>
      </c>
      <c r="BE11" s="18">
        <f t="shared" si="7"/>
        <v>0</v>
      </c>
      <c r="BG11" s="18"/>
      <c r="BH11" s="18">
        <f t="shared" si="8"/>
        <v>0</v>
      </c>
      <c r="BM11" s="348">
        <v>115000</v>
      </c>
      <c r="BN11" s="279"/>
      <c r="BO11" s="279"/>
      <c r="BQ11" s="289"/>
      <c r="BR11" s="18">
        <f>BM11+BQ11</f>
        <v>115000</v>
      </c>
      <c r="BT11" s="289"/>
      <c r="BU11" s="18">
        <f>BR11+BT11</f>
        <v>115000</v>
      </c>
      <c r="BW11" s="289"/>
      <c r="BX11" s="18">
        <f>BU11+BW11</f>
        <v>115000</v>
      </c>
      <c r="BZ11" s="289"/>
      <c r="CA11" s="18">
        <f>BX11+BZ11</f>
        <v>115000</v>
      </c>
      <c r="CC11" s="289"/>
      <c r="CD11" s="18">
        <f>CA11+CC11</f>
        <v>115000</v>
      </c>
      <c r="CF11" s="289"/>
      <c r="CG11" s="18">
        <f>CD11+CF11</f>
        <v>115000</v>
      </c>
      <c r="CI11" s="289"/>
      <c r="CJ11" s="18">
        <f>CG11+CI11</f>
        <v>115000</v>
      </c>
      <c r="CL11" s="327">
        <v>-49300</v>
      </c>
      <c r="CM11" s="18">
        <f>CJ11+CL11</f>
        <v>65700</v>
      </c>
      <c r="CO11" s="327">
        <v>-50300</v>
      </c>
      <c r="CP11" s="18">
        <f>CM11+CO11</f>
        <v>15400</v>
      </c>
      <c r="CR11" s="327"/>
      <c r="CS11" s="18">
        <f>CP11+CR11</f>
        <v>15400</v>
      </c>
      <c r="CU11" s="349">
        <v>-15400</v>
      </c>
      <c r="CV11" s="18">
        <f>CS11+CU11</f>
        <v>0</v>
      </c>
      <c r="CX11" s="349"/>
      <c r="CY11" s="18">
        <f>CV11+CX11</f>
        <v>0</v>
      </c>
      <c r="DA11" s="327"/>
      <c r="DC11" s="327"/>
    </row>
    <row r="12" spans="1:107" outlineLevel="1">
      <c r="A12" s="14" t="s">
        <v>301</v>
      </c>
      <c r="B12" s="4" t="s">
        <v>46</v>
      </c>
      <c r="C12" s="4" t="s">
        <v>302</v>
      </c>
      <c r="D12" s="52">
        <v>0</v>
      </c>
      <c r="E12" s="37">
        <v>0</v>
      </c>
      <c r="F12" s="52">
        <v>0</v>
      </c>
      <c r="G12" s="37">
        <v>0</v>
      </c>
      <c r="H12" s="56">
        <v>16335</v>
      </c>
      <c r="I12" s="40"/>
      <c r="J12" s="17"/>
      <c r="Y12" s="134"/>
      <c r="AF12" s="213"/>
      <c r="AH12" s="18"/>
      <c r="AS12" s="18"/>
      <c r="AX12" s="18"/>
      <c r="BD12" s="18"/>
      <c r="BG12" s="18"/>
      <c r="CO12" s="327"/>
      <c r="CR12" s="327"/>
      <c r="CU12" s="327"/>
      <c r="CX12" s="327"/>
      <c r="DA12" s="327"/>
      <c r="DC12" s="327"/>
    </row>
    <row r="13" spans="1:107" outlineLevel="1">
      <c r="A13" s="14" t="s">
        <v>114</v>
      </c>
      <c r="B13" s="14" t="s">
        <v>115</v>
      </c>
      <c r="C13" s="4" t="s">
        <v>116</v>
      </c>
      <c r="D13" s="52">
        <v>20000</v>
      </c>
      <c r="E13" s="37">
        <v>0</v>
      </c>
      <c r="F13" s="52">
        <v>20000</v>
      </c>
      <c r="G13" s="37">
        <v>0</v>
      </c>
      <c r="H13" s="56">
        <v>0</v>
      </c>
      <c r="I13" s="40"/>
      <c r="J13" s="17"/>
      <c r="L13" s="134">
        <v>0</v>
      </c>
      <c r="M13" s="20">
        <f>L13/F13-1</f>
        <v>-1</v>
      </c>
      <c r="N13" s="20" t="e">
        <f>L13/I13-1</f>
        <v>#DIV/0!</v>
      </c>
      <c r="Y13" s="134"/>
      <c r="AF13" s="213"/>
      <c r="AH13" s="18"/>
      <c r="AS13" s="18"/>
      <c r="AX13" s="18"/>
      <c r="BD13" s="18"/>
      <c r="BG13" s="18"/>
      <c r="CO13" s="327"/>
      <c r="CR13" s="327"/>
      <c r="CU13" s="327"/>
      <c r="CX13" s="327"/>
      <c r="DA13" s="327"/>
      <c r="DC13" s="327"/>
    </row>
    <row r="14" spans="1:107" outlineLevel="1">
      <c r="A14" s="14" t="s">
        <v>114</v>
      </c>
      <c r="B14" s="14" t="s">
        <v>148</v>
      </c>
      <c r="C14" s="4" t="s">
        <v>149</v>
      </c>
      <c r="D14" s="52">
        <v>0</v>
      </c>
      <c r="E14" s="37">
        <v>0</v>
      </c>
      <c r="F14" s="52">
        <v>0</v>
      </c>
      <c r="G14" s="37">
        <v>0</v>
      </c>
      <c r="H14" s="56">
        <v>1029</v>
      </c>
      <c r="I14" s="40">
        <v>1029</v>
      </c>
      <c r="J14" s="17"/>
      <c r="L14" s="134">
        <v>1000</v>
      </c>
      <c r="M14" s="20" t="e">
        <f>L14/F14-1</f>
        <v>#DIV/0!</v>
      </c>
      <c r="N14" s="20">
        <f>L14/I14-1</f>
        <v>-2.8182701652089359E-2</v>
      </c>
      <c r="Q14" s="134">
        <v>1000</v>
      </c>
      <c r="R14" s="18">
        <v>0</v>
      </c>
      <c r="S14" s="134">
        <v>1000</v>
      </c>
      <c r="T14" s="177">
        <f>S14-Q14</f>
        <v>0</v>
      </c>
      <c r="U14" s="19">
        <f>S14/Q14-1</f>
        <v>0</v>
      </c>
      <c r="Y14" s="134">
        <v>1000</v>
      </c>
      <c r="AA14" s="134">
        <v>0</v>
      </c>
      <c r="AB14" s="216">
        <f>AA14-Y14</f>
        <v>-1000</v>
      </c>
      <c r="AC14" s="219">
        <f t="shared" ref="AC14:AC17" si="14">AA14-Y14</f>
        <v>-1000</v>
      </c>
      <c r="AD14" s="219"/>
      <c r="AE14" s="134">
        <v>0</v>
      </c>
      <c r="AF14" s="213"/>
      <c r="AH14" s="18">
        <v>0</v>
      </c>
      <c r="AI14" s="20"/>
      <c r="AS14" s="18"/>
      <c r="AX14" s="18"/>
      <c r="BD14" s="18"/>
      <c r="BG14" s="18"/>
      <c r="CL14" s="327">
        <v>2500</v>
      </c>
      <c r="CM14" s="18">
        <f>CJ14+CL14</f>
        <v>2500</v>
      </c>
      <c r="CO14" s="327"/>
      <c r="CP14" s="18">
        <f>CM14+CO14</f>
        <v>2500</v>
      </c>
      <c r="CS14" s="18">
        <f>CP14+CR14</f>
        <v>2500</v>
      </c>
      <c r="CV14" s="18">
        <f>CS14+CU14</f>
        <v>2500</v>
      </c>
      <c r="CY14" s="18">
        <f>CV14+CX14</f>
        <v>2500</v>
      </c>
      <c r="DA14" s="289">
        <v>2473.2399999999998</v>
      </c>
    </row>
    <row r="15" spans="1:107" outlineLevel="1">
      <c r="A15" s="14" t="s">
        <v>114</v>
      </c>
      <c r="B15" s="14" t="s">
        <v>117</v>
      </c>
      <c r="C15" s="4" t="s">
        <v>118</v>
      </c>
      <c r="D15" s="52">
        <v>220000</v>
      </c>
      <c r="E15" s="37">
        <v>0</v>
      </c>
      <c r="F15" s="52">
        <v>220000</v>
      </c>
      <c r="G15" s="37">
        <v>0</v>
      </c>
      <c r="H15" s="56">
        <v>0</v>
      </c>
      <c r="I15" s="40"/>
      <c r="J15" s="17"/>
      <c r="L15" s="134">
        <v>5000</v>
      </c>
      <c r="M15" s="20">
        <f>L15/F15-1</f>
        <v>-0.97727272727272729</v>
      </c>
      <c r="N15" s="20" t="e">
        <f>L15/I15-1</f>
        <v>#DIV/0!</v>
      </c>
      <c r="Q15" s="134">
        <v>5000</v>
      </c>
      <c r="R15" s="18">
        <v>0</v>
      </c>
      <c r="S15" s="134">
        <v>1000</v>
      </c>
      <c r="T15" s="177">
        <f>S15-Q15</f>
        <v>-4000</v>
      </c>
      <c r="U15" s="19">
        <f>S15/Q15-1</f>
        <v>-0.8</v>
      </c>
      <c r="Y15" s="134">
        <v>1000</v>
      </c>
      <c r="AA15" s="134">
        <v>0</v>
      </c>
      <c r="AB15" s="216">
        <f>AA15-Y15</f>
        <v>-1000</v>
      </c>
      <c r="AC15" s="219">
        <f t="shared" si="14"/>
        <v>-1000</v>
      </c>
      <c r="AD15" s="219"/>
      <c r="AE15" s="134">
        <v>0</v>
      </c>
      <c r="AF15" s="213"/>
      <c r="AH15" s="18">
        <v>0</v>
      </c>
      <c r="AI15" s="20"/>
      <c r="AS15" s="18"/>
      <c r="AX15" s="18"/>
      <c r="BD15" s="18"/>
      <c r="BG15" s="18"/>
      <c r="CO15" s="327"/>
      <c r="DC15" s="289">
        <v>115000</v>
      </c>
    </row>
    <row r="16" spans="1:107" outlineLevel="1">
      <c r="A16" s="14" t="s">
        <v>114</v>
      </c>
      <c r="B16" s="14" t="s">
        <v>119</v>
      </c>
      <c r="C16" s="4" t="s">
        <v>120</v>
      </c>
      <c r="D16" s="52">
        <v>110000</v>
      </c>
      <c r="E16" s="37">
        <v>53.96</v>
      </c>
      <c r="F16" s="52">
        <v>110000</v>
      </c>
      <c r="G16" s="37">
        <v>53.96</v>
      </c>
      <c r="H16" s="56">
        <v>59358</v>
      </c>
      <c r="I16" s="60">
        <v>61000</v>
      </c>
      <c r="L16" s="134">
        <v>30000</v>
      </c>
      <c r="M16" s="20">
        <f>L16/F16-1</f>
        <v>-0.72727272727272729</v>
      </c>
      <c r="N16" s="20">
        <f>L16/I16-1</f>
        <v>-0.50819672131147542</v>
      </c>
      <c r="Q16" s="134">
        <v>30000</v>
      </c>
      <c r="R16" s="18">
        <v>0</v>
      </c>
      <c r="S16" s="134">
        <v>5000</v>
      </c>
      <c r="T16" s="177">
        <f>S16-Q16</f>
        <v>-25000</v>
      </c>
      <c r="U16" s="19">
        <f>S16/Q16-1</f>
        <v>-0.83333333333333337</v>
      </c>
      <c r="Y16" s="134">
        <v>5000</v>
      </c>
      <c r="AA16" s="134">
        <v>1000</v>
      </c>
      <c r="AB16" s="216">
        <f>AA16-Y16</f>
        <v>-4000</v>
      </c>
      <c r="AC16" s="219">
        <f t="shared" si="14"/>
        <v>-4000</v>
      </c>
      <c r="AD16" s="219"/>
      <c r="AE16" s="134">
        <v>1000</v>
      </c>
      <c r="AF16" s="213"/>
      <c r="AH16" s="18">
        <v>0</v>
      </c>
      <c r="AI16" s="20">
        <f t="shared" ref="AI16:AI17" si="15">AH16/AE16</f>
        <v>0</v>
      </c>
      <c r="AS16" s="18"/>
      <c r="AX16" s="18"/>
      <c r="BD16" s="18"/>
      <c r="BG16" s="18"/>
      <c r="CO16" s="327"/>
    </row>
    <row r="17" spans="1:107" outlineLevel="1">
      <c r="A17" s="14" t="s">
        <v>114</v>
      </c>
      <c r="B17" s="14" t="s">
        <v>210</v>
      </c>
      <c r="C17" s="4" t="s">
        <v>331</v>
      </c>
      <c r="D17" s="52"/>
      <c r="E17" s="37"/>
      <c r="F17" s="52"/>
      <c r="G17" s="37"/>
      <c r="H17" s="56"/>
      <c r="I17" s="63"/>
      <c r="L17" s="134">
        <v>100000</v>
      </c>
      <c r="M17" s="20" t="e">
        <f>L17/F17-1</f>
        <v>#DIV/0!</v>
      </c>
      <c r="N17" s="20" t="e">
        <f>L17/I17-1</f>
        <v>#DIV/0!</v>
      </c>
      <c r="Q17" s="134">
        <v>100000</v>
      </c>
      <c r="R17" s="18">
        <v>0</v>
      </c>
      <c r="S17" s="134">
        <v>108000</v>
      </c>
      <c r="T17" s="177">
        <f>S17-Q17</f>
        <v>8000</v>
      </c>
      <c r="U17" s="19">
        <f>S17/Q17-1</f>
        <v>8.0000000000000071E-2</v>
      </c>
      <c r="Y17" s="134">
        <v>108000</v>
      </c>
      <c r="AA17" s="134">
        <v>97000</v>
      </c>
      <c r="AB17" s="216">
        <f>AA17-Y17</f>
        <v>-11000</v>
      </c>
      <c r="AC17" s="219">
        <f t="shared" si="14"/>
        <v>-11000</v>
      </c>
      <c r="AD17" s="219"/>
      <c r="AE17" s="134">
        <v>97000</v>
      </c>
      <c r="AF17" s="213"/>
      <c r="AH17" s="18">
        <v>96800</v>
      </c>
      <c r="AI17" s="20">
        <f t="shared" si="15"/>
        <v>0.99793814432989691</v>
      </c>
      <c r="AK17" s="134">
        <f>10900+100</f>
        <v>11000</v>
      </c>
      <c r="AS17" s="18">
        <f t="shared" si="3"/>
        <v>11000</v>
      </c>
      <c r="AV17" s="18">
        <f>AS17+AU17</f>
        <v>11000</v>
      </c>
      <c r="AX17" s="18"/>
      <c r="AY17" s="18">
        <f>AV17+AX17</f>
        <v>11000</v>
      </c>
      <c r="BB17" s="18">
        <f>AY17+BA17</f>
        <v>11000</v>
      </c>
      <c r="BD17" s="18">
        <v>-11000</v>
      </c>
      <c r="BE17" s="18">
        <f>BB17+BD17</f>
        <v>0</v>
      </c>
      <c r="BG17" s="18"/>
      <c r="BH17" s="18">
        <f>BE17+BG17</f>
        <v>0</v>
      </c>
      <c r="BJ17" s="18">
        <v>0</v>
      </c>
      <c r="BM17" s="289"/>
      <c r="BN17" s="279" t="e">
        <f t="shared" ref="BN17" si="16">BM17/BJ17</f>
        <v>#DIV/0!</v>
      </c>
      <c r="BO17" s="279" t="e">
        <f t="shared" ref="BO17" si="17">BM17/BH17</f>
        <v>#DIV/0!</v>
      </c>
      <c r="BQ17" s="289"/>
      <c r="BR17" s="289"/>
      <c r="BT17" s="289"/>
      <c r="BU17" s="289"/>
      <c r="BW17" s="289"/>
      <c r="BX17" s="289"/>
      <c r="BZ17" s="289"/>
      <c r="CA17" s="289"/>
      <c r="CC17" s="289"/>
      <c r="CD17" s="289"/>
      <c r="CF17" s="289"/>
      <c r="CG17" s="289"/>
      <c r="CI17" s="289"/>
      <c r="CJ17" s="289"/>
      <c r="CM17" s="289"/>
      <c r="CP17" s="289"/>
      <c r="CS17" s="289"/>
      <c r="CV17" s="289"/>
      <c r="CY17" s="289"/>
    </row>
    <row r="18" spans="1:107" outlineLevel="1">
      <c r="A18" s="14" t="s">
        <v>114</v>
      </c>
      <c r="B18" s="4" t="s">
        <v>46</v>
      </c>
      <c r="C18" s="4" t="s">
        <v>121</v>
      </c>
      <c r="D18" s="52">
        <v>350000</v>
      </c>
      <c r="E18" s="37">
        <v>17.25</v>
      </c>
      <c r="F18" s="52">
        <v>350000</v>
      </c>
      <c r="G18" s="37">
        <v>17.25</v>
      </c>
      <c r="H18" s="56">
        <v>60387</v>
      </c>
      <c r="I18" s="40"/>
      <c r="J18" s="17"/>
      <c r="Y18" s="134"/>
      <c r="AF18" s="213"/>
      <c r="AH18" s="18"/>
      <c r="AS18" s="18"/>
      <c r="AX18" s="18"/>
      <c r="BD18" s="18"/>
      <c r="BG18" s="18"/>
    </row>
    <row r="19" spans="1:107" outlineLevel="1">
      <c r="A19" s="14" t="s">
        <v>122</v>
      </c>
      <c r="B19" s="4" t="s">
        <v>48</v>
      </c>
      <c r="C19" s="4" t="s">
        <v>123</v>
      </c>
      <c r="D19" s="52">
        <v>350000</v>
      </c>
      <c r="E19" s="37">
        <v>21.92</v>
      </c>
      <c r="F19" s="52">
        <v>350000</v>
      </c>
      <c r="G19" s="37">
        <v>21.92</v>
      </c>
      <c r="H19" s="56">
        <v>76722</v>
      </c>
      <c r="I19" s="40"/>
      <c r="J19" s="17"/>
      <c r="Y19" s="134"/>
      <c r="AF19" s="213"/>
      <c r="AH19" s="18"/>
      <c r="AS19" s="18"/>
      <c r="AX19" s="18"/>
      <c r="BD19" s="18"/>
      <c r="BG19" s="18"/>
    </row>
    <row r="20" spans="1:107" ht="15.75" thickBot="1">
      <c r="A20" s="70" t="s">
        <v>122</v>
      </c>
      <c r="B20" s="71" t="s">
        <v>320</v>
      </c>
      <c r="C20" s="338" t="s">
        <v>368</v>
      </c>
      <c r="D20" s="73">
        <f>D9+D13+D14+D15+D16</f>
        <v>350000</v>
      </c>
      <c r="E20" s="74"/>
      <c r="F20" s="73">
        <f>F9+F13+F14+F15+F16</f>
        <v>350000</v>
      </c>
      <c r="G20" s="74"/>
      <c r="H20" s="73"/>
      <c r="I20" s="73">
        <f>I9+I13+I14+I15+I16</f>
        <v>78364</v>
      </c>
      <c r="J20" s="156" t="e">
        <f>I20/$I$304</f>
        <v>#REF!</v>
      </c>
      <c r="K20" s="76"/>
      <c r="L20" s="138">
        <f>L9+L13+L14+L15+L16</f>
        <v>36000</v>
      </c>
      <c r="M20" s="77">
        <f>L20/F20-1</f>
        <v>-0.89714285714285713</v>
      </c>
      <c r="N20" s="77">
        <f>L20/I20-1</f>
        <v>-0.54060538002143843</v>
      </c>
      <c r="O20" s="20">
        <f>L20/$L$304</f>
        <v>8.3526683684950042E-3</v>
      </c>
      <c r="P20" s="20"/>
      <c r="Q20" s="138">
        <f>Q9+Q13+Q14+Q15+Q16</f>
        <v>36000</v>
      </c>
      <c r="R20" s="138">
        <f>R9+R13+R14+R15+R16</f>
        <v>0</v>
      </c>
      <c r="S20" s="138">
        <f>S9+S13+S14+S15+S16</f>
        <v>7000</v>
      </c>
      <c r="T20" s="138">
        <f>T9+T13+T14+T15+T16</f>
        <v>-29000</v>
      </c>
      <c r="U20" s="175">
        <f>S20/Q20-1</f>
        <v>-0.80555555555555558</v>
      </c>
      <c r="Y20" s="138">
        <f>Y9+Y13+Y14+Y15+Y16</f>
        <v>7000</v>
      </c>
      <c r="Z20" s="138">
        <f>Z9+Z13+Z14+Z15+Z16</f>
        <v>0</v>
      </c>
      <c r="AA20" s="138">
        <f>AA9+AA13+AA14+AA15+AA16+AA10</f>
        <v>8350</v>
      </c>
      <c r="AB20" s="138">
        <f>AB9+AB13+AB14+AB15+AB16+AB10</f>
        <v>1350</v>
      </c>
      <c r="AE20" s="138">
        <f>AE9+AE13+AE14+AE15+AE16+AE10</f>
        <v>8350</v>
      </c>
      <c r="AF20" s="213"/>
      <c r="AH20" s="138">
        <f>AH9+AH13+AH14+AH15+AH16+AH10</f>
        <v>7344</v>
      </c>
      <c r="AI20" s="20">
        <f t="shared" ref="AI20:AI23" si="18">AH20/AE20</f>
        <v>0.87952095808383235</v>
      </c>
      <c r="AK20" s="138">
        <f>AK9+AK13+AK14+AK15+AK16+AK10</f>
        <v>99500</v>
      </c>
      <c r="AL20" s="229">
        <f t="shared" ref="AL20:AL22" si="19">AK20/L20</f>
        <v>2.7638888888888888</v>
      </c>
      <c r="AM20" s="20">
        <f t="shared" ref="AM20:AM22" si="20">AK20/AE20</f>
        <v>11.916167664670658</v>
      </c>
      <c r="AN20" s="20">
        <f t="shared" ref="AN20:AN22" si="21">AK20/AH20</f>
        <v>13.548474945533769</v>
      </c>
      <c r="AR20" s="138">
        <f>AR9+AR13+AR14+AR15+AR16+AR10</f>
        <v>0</v>
      </c>
      <c r="AS20" s="138">
        <f>AS9+AS13+AS14+AS15+AS16+AS10</f>
        <v>99500</v>
      </c>
      <c r="AU20" s="138">
        <f>AU9+AU13+AU14+AU15+AU16+AU10</f>
        <v>14000</v>
      </c>
      <c r="AV20" s="138">
        <f>AV9+AV13+AV14+AV15+AV16+AV10</f>
        <v>113500</v>
      </c>
      <c r="AX20" s="138">
        <f>AX9+AX13+AX14+AX15+AX16+AX10</f>
        <v>0</v>
      </c>
      <c r="AY20" s="138">
        <f>AY9+AY13+AY14+AY15+AY16+AY10</f>
        <v>113500</v>
      </c>
      <c r="BA20" s="138">
        <f>BA9+BA13+BA14+BA15+BA16+BA10</f>
        <v>0</v>
      </c>
      <c r="BB20" s="138">
        <f>BB9+BB13+BB14+BB15+BB16+BB10</f>
        <v>113500</v>
      </c>
      <c r="BD20" s="138">
        <f>BD9+BD13+BD14+BD15+BD16+BD10</f>
        <v>546500</v>
      </c>
      <c r="BE20" s="138">
        <f>BE9+BE13+BE14+BE15+BE16+BE10</f>
        <v>660000</v>
      </c>
      <c r="BG20" s="138">
        <f>BG9+BG13+BG14+BG15+BG16+BG10</f>
        <v>3200</v>
      </c>
      <c r="BH20" s="138">
        <f>BH9+BH13+BH14+BH15+BH16+BH10</f>
        <v>663200</v>
      </c>
      <c r="BJ20" s="138">
        <f>BJ9+BJ13+BJ14+BJ15+BJ16+BJ10</f>
        <v>650689.16</v>
      </c>
      <c r="BK20" s="280">
        <f t="shared" ref="BK20:BK22" si="22">BJ20/BH20</f>
        <v>0.98113564535585052</v>
      </c>
      <c r="BM20" s="138">
        <f>BM9+BM13+BM14+BM15+BM16+BM10</f>
        <v>135000</v>
      </c>
      <c r="BN20" s="280">
        <f t="shared" ref="BN20:BN22" si="23">BM20/BJ20</f>
        <v>0.20747233594609135</v>
      </c>
      <c r="BO20" s="280">
        <f t="shared" ref="BO20:BO22" si="24">BM20/BH20</f>
        <v>0.20355850422195415</v>
      </c>
      <c r="BQ20" s="138">
        <f>BQ9+BQ13+BQ14+BQ15+BQ16+BQ10</f>
        <v>0</v>
      </c>
      <c r="BR20" s="138">
        <f>BR9+BR13+BR14+BR15+BR16+BR10</f>
        <v>135000</v>
      </c>
      <c r="BT20" s="138">
        <f>BT9+BT13+BT14+BT15+BT16+BT10</f>
        <v>0</v>
      </c>
      <c r="BU20" s="138">
        <f>BU9+BU13+BU14+BU15+BU16+BU10</f>
        <v>135000</v>
      </c>
      <c r="BW20" s="138">
        <f>BW9+BW13+BW14+BW15+BW16+BW10</f>
        <v>0</v>
      </c>
      <c r="BX20" s="138">
        <f>BX9+BX13+BX14+BX15+BX16+BX10</f>
        <v>135000</v>
      </c>
      <c r="BZ20" s="138">
        <f>BZ9+BZ13+BZ14+BZ15+BZ16+BZ10</f>
        <v>0</v>
      </c>
      <c r="CA20" s="138">
        <f>CA9+CA13+CA14+CA15+CA16+CA10</f>
        <v>135000</v>
      </c>
      <c r="CC20" s="138">
        <f>CC9+CC13+CC14+CC15+CC16+CC10</f>
        <v>0</v>
      </c>
      <c r="CD20" s="138">
        <f>CD9+CD13+CD14+CD15+CD16+CD10</f>
        <v>135000</v>
      </c>
      <c r="CF20" s="138">
        <f>CF9+CF13+CF14+CF15+CF16+CF10</f>
        <v>0</v>
      </c>
      <c r="CG20" s="138">
        <f>CG9+CG13+CG14+CG15+CG16+CG10</f>
        <v>135000</v>
      </c>
      <c r="CI20" s="138">
        <f>CI9+CI13+CI14+CI15+CI16+CI10</f>
        <v>0</v>
      </c>
      <c r="CJ20" s="138">
        <f>CJ9+CJ13+CJ14+CJ15+CJ16+CJ10</f>
        <v>135000</v>
      </c>
      <c r="CL20" s="391">
        <f>CL9+CL13+CL14+CL15+CL16+CL10</f>
        <v>2500</v>
      </c>
      <c r="CM20" s="138">
        <f>CM9+CM13+CM14+CM15+CM16+CM10</f>
        <v>137500</v>
      </c>
      <c r="CO20" s="138">
        <f>CO9+CO13+CO14+CO15+CO16+CO10</f>
        <v>0</v>
      </c>
      <c r="CP20" s="138">
        <f>CP9+CP13+CP14+CP15+CP16+CP10</f>
        <v>137500</v>
      </c>
      <c r="CR20" s="138">
        <f>CR9+CR13+CR14+CR15+CR16+CR10</f>
        <v>0</v>
      </c>
      <c r="CS20" s="138">
        <f>CS9+CS13+CS14+CS15+CS16+CS10</f>
        <v>137500</v>
      </c>
      <c r="CU20" s="138">
        <f>CU9+CU13+CU14+CU15+CU16+CU10</f>
        <v>-130500</v>
      </c>
      <c r="CV20" s="138">
        <f>CV9+CV13+CV14+CV15+CV16+CV10</f>
        <v>7000</v>
      </c>
      <c r="CX20" s="138">
        <f>CX9+CX13+CX14+CX15+CX16+CX10</f>
        <v>0</v>
      </c>
      <c r="CY20" s="138">
        <f>CY9+CY13+CY14+CY15+CY16+CY10</f>
        <v>7000</v>
      </c>
      <c r="DA20" s="138">
        <f>DA9+DA13+DA14+DA15+DA16+DA10</f>
        <v>6708.24</v>
      </c>
      <c r="DC20" s="138">
        <f>DC9+DC13+DC14+DC15+DC16+DC10</f>
        <v>135000</v>
      </c>
    </row>
    <row r="21" spans="1:107" ht="16.5" thickTop="1" thickBot="1">
      <c r="A21" s="80" t="s">
        <v>122</v>
      </c>
      <c r="B21" s="81" t="s">
        <v>362</v>
      </c>
      <c r="C21" s="339" t="s">
        <v>332</v>
      </c>
      <c r="D21" s="82">
        <f>D16</f>
        <v>110000</v>
      </c>
      <c r="E21" s="83"/>
      <c r="F21" s="82">
        <f>F16</f>
        <v>110000</v>
      </c>
      <c r="G21" s="83"/>
      <c r="H21" s="82"/>
      <c r="I21" s="82">
        <f>I16</f>
        <v>61000</v>
      </c>
      <c r="J21" s="84"/>
      <c r="K21" s="85"/>
      <c r="L21" s="139">
        <f>L16</f>
        <v>30000</v>
      </c>
      <c r="M21" s="86">
        <f>L21/F21-1</f>
        <v>-0.72727272727272729</v>
      </c>
      <c r="N21" s="86">
        <f>L21/I21-1</f>
        <v>-0.50819672131147542</v>
      </c>
      <c r="Q21" s="139">
        <f>Q16</f>
        <v>30000</v>
      </c>
      <c r="R21" s="139">
        <f>R16</f>
        <v>0</v>
      </c>
      <c r="S21" s="139">
        <f>S16</f>
        <v>5000</v>
      </c>
      <c r="T21" s="139">
        <f>T16</f>
        <v>-25000</v>
      </c>
      <c r="U21" s="175">
        <f>S21/Q21-1</f>
        <v>-0.83333333333333337</v>
      </c>
      <c r="Y21" s="139">
        <f>Y16</f>
        <v>5000</v>
      </c>
      <c r="Z21" s="139">
        <f>Z16</f>
        <v>0</v>
      </c>
      <c r="AA21" s="139">
        <f>AA16+AA10</f>
        <v>8350</v>
      </c>
      <c r="AB21" s="139">
        <f>AB16+AB10</f>
        <v>3350</v>
      </c>
      <c r="AE21" s="139">
        <f>AE16+AE10</f>
        <v>8350</v>
      </c>
      <c r="AF21" s="213"/>
      <c r="AH21" s="139">
        <f>AH16+AH10</f>
        <v>7344</v>
      </c>
      <c r="AI21" s="20">
        <f t="shared" si="18"/>
        <v>0.87952095808383235</v>
      </c>
      <c r="AK21" s="139">
        <f>AK16+AK10</f>
        <v>74500</v>
      </c>
      <c r="AL21" s="229">
        <f t="shared" si="19"/>
        <v>2.4833333333333334</v>
      </c>
      <c r="AM21" s="20">
        <f t="shared" si="20"/>
        <v>8.9221556886227553</v>
      </c>
      <c r="AN21" s="20">
        <f t="shared" si="21"/>
        <v>10.14433551198257</v>
      </c>
      <c r="AR21" s="139">
        <f>AR16+AR10</f>
        <v>0</v>
      </c>
      <c r="AS21" s="139">
        <f>AS16+AS10</f>
        <v>74500</v>
      </c>
      <c r="AV21" s="139">
        <f>AV16+AV10</f>
        <v>74500</v>
      </c>
      <c r="AX21" s="18"/>
      <c r="AY21" s="139">
        <f>AY16+AY10</f>
        <v>74500</v>
      </c>
      <c r="BA21" s="139">
        <f>BA16+BA10</f>
        <v>0</v>
      </c>
      <c r="BB21" s="139">
        <f>BB16+BB10</f>
        <v>74500</v>
      </c>
      <c r="BD21" s="139">
        <f>BD16+BD10</f>
        <v>525500</v>
      </c>
      <c r="BE21" s="139">
        <f>BE16+BE10</f>
        <v>600000</v>
      </c>
      <c r="BG21" s="139">
        <f>BG16+BG10</f>
        <v>3200</v>
      </c>
      <c r="BH21" s="139">
        <f>BH16+BH10</f>
        <v>603200</v>
      </c>
      <c r="BJ21" s="139">
        <f>BJ16+BJ10</f>
        <v>603114.38</v>
      </c>
      <c r="BK21" s="280">
        <f t="shared" si="22"/>
        <v>0.99985805702917774</v>
      </c>
      <c r="BM21" s="139">
        <f>BM16+BM10</f>
        <v>130000</v>
      </c>
      <c r="BN21" s="280">
        <f t="shared" si="23"/>
        <v>0.21554783687963136</v>
      </c>
      <c r="BO21" s="280">
        <f t="shared" si="24"/>
        <v>0.21551724137931033</v>
      </c>
      <c r="BQ21" s="139">
        <f>BQ16+BQ10</f>
        <v>0</v>
      </c>
      <c r="BR21" s="139">
        <f>BR16+BR10</f>
        <v>130000</v>
      </c>
      <c r="BT21" s="139">
        <f>BT16+BT10</f>
        <v>0</v>
      </c>
      <c r="BU21" s="139">
        <f>BU16+BU10</f>
        <v>130000</v>
      </c>
      <c r="BW21" s="139">
        <f>BW16+BW10</f>
        <v>0</v>
      </c>
      <c r="BX21" s="139">
        <f>BX16+BX10</f>
        <v>130000</v>
      </c>
      <c r="BZ21" s="139">
        <f>BZ16+BZ10</f>
        <v>0</v>
      </c>
      <c r="CA21" s="139">
        <f>CA16+CA10</f>
        <v>130000</v>
      </c>
      <c r="CC21" s="139">
        <f>CC16+CC10</f>
        <v>0</v>
      </c>
      <c r="CD21" s="139">
        <f>CD16+CD10</f>
        <v>130000</v>
      </c>
      <c r="CF21" s="139">
        <f>CF16+CF10</f>
        <v>0</v>
      </c>
      <c r="CG21" s="139">
        <f>CG16+CG10</f>
        <v>130000</v>
      </c>
      <c r="CI21" s="139">
        <f>CI16+CI10</f>
        <v>0</v>
      </c>
      <c r="CJ21" s="139">
        <f>CJ16+CJ10</f>
        <v>130000</v>
      </c>
      <c r="CL21" s="391">
        <f>CL16+CL10</f>
        <v>0</v>
      </c>
      <c r="CM21" s="139">
        <f>CM16+CM10</f>
        <v>130000</v>
      </c>
      <c r="CO21" s="139">
        <f>CO16+CO10</f>
        <v>0</v>
      </c>
      <c r="CP21" s="139">
        <f>CP16+CP10</f>
        <v>130000</v>
      </c>
      <c r="CR21" s="139">
        <f>CR16+CR10</f>
        <v>0</v>
      </c>
      <c r="CS21" s="139">
        <f>CS16+CS10</f>
        <v>130000</v>
      </c>
      <c r="CU21" s="139">
        <f>CU16+CU10</f>
        <v>-130000</v>
      </c>
      <c r="CV21" s="139">
        <f>CV16+CV10</f>
        <v>0</v>
      </c>
      <c r="CX21" s="139">
        <f>CX16+CX10</f>
        <v>0</v>
      </c>
      <c r="CY21" s="139">
        <f>CY16+CY10</f>
        <v>0</v>
      </c>
      <c r="DA21" s="139">
        <f>DA16+DA10</f>
        <v>0</v>
      </c>
      <c r="DC21" s="139">
        <f>DC16+DC10</f>
        <v>0</v>
      </c>
    </row>
    <row r="22" spans="1:107" ht="16.5" thickTop="1" thickBot="1">
      <c r="A22" s="91" t="s">
        <v>122</v>
      </c>
      <c r="B22" s="92" t="s">
        <v>281</v>
      </c>
      <c r="C22" s="340" t="s">
        <v>333</v>
      </c>
      <c r="D22" s="94">
        <f>D11+D17</f>
        <v>0</v>
      </c>
      <c r="E22" s="95"/>
      <c r="F22" s="94">
        <f>F11+F17</f>
        <v>0</v>
      </c>
      <c r="G22" s="95"/>
      <c r="H22" s="94"/>
      <c r="I22" s="94">
        <f>I11+I17</f>
        <v>0</v>
      </c>
      <c r="J22" s="96"/>
      <c r="K22" s="93"/>
      <c r="L22" s="140">
        <f>L11+L17</f>
        <v>200000</v>
      </c>
      <c r="M22" s="97" t="e">
        <f>L22/F22-1</f>
        <v>#DIV/0!</v>
      </c>
      <c r="N22" s="97" t="e">
        <f>L22/I22-1</f>
        <v>#DIV/0!</v>
      </c>
      <c r="Q22" s="140">
        <f>Q11+Q17</f>
        <v>200000</v>
      </c>
      <c r="R22" s="140">
        <f>R11+R17</f>
        <v>14800</v>
      </c>
      <c r="S22" s="140">
        <f>S11+S17</f>
        <v>167000</v>
      </c>
      <c r="T22" s="140">
        <f>T11+T17</f>
        <v>-33000</v>
      </c>
      <c r="U22" s="176">
        <f>S22/Q22-1</f>
        <v>-0.16500000000000004</v>
      </c>
      <c r="Y22" s="140">
        <f>Y11+Y17</f>
        <v>167000</v>
      </c>
      <c r="Z22" s="140">
        <f>Z11+Z17</f>
        <v>0</v>
      </c>
      <c r="AA22" s="140">
        <f>AA11+AA17</f>
        <v>168200</v>
      </c>
      <c r="AB22" s="140">
        <f>AB11+AB17</f>
        <v>1200</v>
      </c>
      <c r="AE22" s="140">
        <f>AE11+AE17</f>
        <v>168200</v>
      </c>
      <c r="AF22" s="213"/>
      <c r="AH22" s="140">
        <f>AH11+AH17</f>
        <v>167865</v>
      </c>
      <c r="AI22" s="20">
        <f t="shared" si="18"/>
        <v>0.99800832342449464</v>
      </c>
      <c r="AK22" s="140">
        <f>AK11+AK17</f>
        <v>467300</v>
      </c>
      <c r="AL22" s="229">
        <f t="shared" si="19"/>
        <v>2.3365</v>
      </c>
      <c r="AM22" s="20">
        <f t="shared" si="20"/>
        <v>2.7782401902497029</v>
      </c>
      <c r="AN22" s="20">
        <f t="shared" si="21"/>
        <v>2.7837845888064816</v>
      </c>
      <c r="AR22" s="140">
        <f>AR11+AR17</f>
        <v>0</v>
      </c>
      <c r="AS22" s="140">
        <f>AS11+AS17</f>
        <v>467300</v>
      </c>
      <c r="AV22" s="140">
        <f>AV11+AV17</f>
        <v>467300</v>
      </c>
      <c r="AX22" s="18"/>
      <c r="AY22" s="140">
        <f>AY11+AY17</f>
        <v>467300</v>
      </c>
      <c r="BA22" s="140">
        <f>BA11+BA17</f>
        <v>-33000</v>
      </c>
      <c r="BB22" s="140">
        <f>BB11+BB17</f>
        <v>434300</v>
      </c>
      <c r="BD22" s="140">
        <f>BD11+BD17</f>
        <v>-434300</v>
      </c>
      <c r="BE22" s="140">
        <f>BE11+BE17</f>
        <v>0</v>
      </c>
      <c r="BG22" s="140">
        <f>BG11+BG17</f>
        <v>0</v>
      </c>
      <c r="BH22" s="140">
        <f>BH11+BH17</f>
        <v>0</v>
      </c>
      <c r="BJ22" s="140">
        <f>BJ11+BJ17</f>
        <v>0</v>
      </c>
      <c r="BK22" s="281" t="e">
        <f t="shared" si="22"/>
        <v>#DIV/0!</v>
      </c>
      <c r="BM22" s="140">
        <f>BM11+BM17</f>
        <v>115000</v>
      </c>
      <c r="BN22" s="281" t="e">
        <f t="shared" si="23"/>
        <v>#DIV/0!</v>
      </c>
      <c r="BO22" s="281" t="e">
        <f t="shared" si="24"/>
        <v>#DIV/0!</v>
      </c>
      <c r="BQ22" s="140">
        <f>BQ11+BQ17</f>
        <v>0</v>
      </c>
      <c r="BR22" s="140">
        <f>BR11+BR17</f>
        <v>115000</v>
      </c>
      <c r="BT22" s="140">
        <f>BT11+BT17</f>
        <v>0</v>
      </c>
      <c r="BU22" s="140">
        <f>BU11+BU17</f>
        <v>115000</v>
      </c>
      <c r="BW22" s="140">
        <f>BW11+BW17</f>
        <v>0</v>
      </c>
      <c r="BX22" s="140">
        <f>BX11+BX17</f>
        <v>115000</v>
      </c>
      <c r="BZ22" s="140">
        <f>BZ11+BZ17</f>
        <v>0</v>
      </c>
      <c r="CA22" s="140">
        <f>CA11+CA17</f>
        <v>115000</v>
      </c>
      <c r="CC22" s="140">
        <f>CC11+CC17</f>
        <v>0</v>
      </c>
      <c r="CD22" s="140">
        <f>CD11+CD17</f>
        <v>115000</v>
      </c>
      <c r="CF22" s="140">
        <f>CF11+CF17</f>
        <v>0</v>
      </c>
      <c r="CG22" s="140">
        <f>CG11+CG17</f>
        <v>115000</v>
      </c>
      <c r="CI22" s="140">
        <f>CI11+CI17</f>
        <v>0</v>
      </c>
      <c r="CJ22" s="140">
        <f>CJ11+CJ17</f>
        <v>115000</v>
      </c>
      <c r="CL22" s="391">
        <f>CL11+CL17</f>
        <v>-49300</v>
      </c>
      <c r="CM22" s="140">
        <f>CM11+CM17</f>
        <v>65700</v>
      </c>
      <c r="CO22" s="140">
        <f>CO11+CO17</f>
        <v>-50300</v>
      </c>
      <c r="CP22" s="140">
        <f>CP11+CP17</f>
        <v>15400</v>
      </c>
      <c r="CR22" s="140">
        <f>CR11+CR17</f>
        <v>0</v>
      </c>
      <c r="CS22" s="140">
        <f>CS11+CS17</f>
        <v>15400</v>
      </c>
      <c r="CU22" s="140">
        <f>CU11+CU17</f>
        <v>-15400</v>
      </c>
      <c r="CV22" s="140">
        <f>CV11+CV17</f>
        <v>0</v>
      </c>
      <c r="CX22" s="140">
        <f>CX11+CX17</f>
        <v>0</v>
      </c>
      <c r="CY22" s="140">
        <f>CY11+CY17</f>
        <v>0</v>
      </c>
      <c r="DA22" s="140">
        <f>DA11+DA17</f>
        <v>0</v>
      </c>
      <c r="DC22" s="140">
        <f>DC11+DC17</f>
        <v>0</v>
      </c>
    </row>
    <row r="23" spans="1:107" ht="15.75" outlineLevel="1" thickTop="1">
      <c r="A23" s="14" t="s">
        <v>303</v>
      </c>
      <c r="B23" s="14" t="s">
        <v>148</v>
      </c>
      <c r="C23" s="4" t="s">
        <v>149</v>
      </c>
      <c r="D23" s="52">
        <v>0</v>
      </c>
      <c r="E23" s="37">
        <v>0</v>
      </c>
      <c r="F23" s="52">
        <v>0</v>
      </c>
      <c r="G23" s="37">
        <v>0</v>
      </c>
      <c r="H23" s="56">
        <v>2094.5</v>
      </c>
      <c r="I23" s="60">
        <v>2095</v>
      </c>
      <c r="L23" s="141">
        <v>0</v>
      </c>
      <c r="M23" s="20" t="e">
        <f>L23/F23-1</f>
        <v>#DIV/0!</v>
      </c>
      <c r="N23" s="20">
        <f>L23/I23-1</f>
        <v>-1</v>
      </c>
      <c r="AA23" s="134">
        <v>1900</v>
      </c>
      <c r="AB23" s="216">
        <f>AA23-Y23</f>
        <v>1900</v>
      </c>
      <c r="AC23" s="219">
        <f t="shared" ref="AC23" si="25">AA23-Y23</f>
        <v>1900</v>
      </c>
      <c r="AD23" s="219"/>
      <c r="AE23" s="134">
        <v>1900</v>
      </c>
      <c r="AF23" s="213"/>
      <c r="AH23" s="18">
        <v>1812.85</v>
      </c>
      <c r="AI23" s="20">
        <f t="shared" si="18"/>
        <v>0.95413157894736833</v>
      </c>
      <c r="AK23" s="134">
        <v>10000</v>
      </c>
      <c r="AS23" s="18">
        <f t="shared" ref="AS23" si="26">AR23+AK23</f>
        <v>10000</v>
      </c>
      <c r="AV23" s="18">
        <f>AS23+AU23</f>
        <v>10000</v>
      </c>
      <c r="AX23" s="18"/>
      <c r="AY23" s="18">
        <f>AV23+AX23</f>
        <v>10000</v>
      </c>
      <c r="BB23" s="18">
        <f>AY23+BA23</f>
        <v>10000</v>
      </c>
      <c r="BD23" s="18">
        <v>-10000</v>
      </c>
      <c r="BE23" s="18">
        <f>BB23+BD23</f>
        <v>0</v>
      </c>
      <c r="BG23" s="18"/>
      <c r="BH23" s="18">
        <f>BE23+BG23</f>
        <v>0</v>
      </c>
      <c r="BJ23" s="18">
        <v>0</v>
      </c>
      <c r="BK23" s="279"/>
      <c r="BM23" s="289">
        <v>0</v>
      </c>
      <c r="BN23" s="279" t="e">
        <f t="shared" ref="BN23" si="27">BM23/BJ23</f>
        <v>#DIV/0!</v>
      </c>
      <c r="BO23" s="279" t="e">
        <f t="shared" ref="BO23" si="28">BM23/BH23</f>
        <v>#DIV/0!</v>
      </c>
      <c r="BQ23" s="289"/>
      <c r="BR23" s="18">
        <f>BM23+BQ23</f>
        <v>0</v>
      </c>
      <c r="BT23" s="289"/>
      <c r="BU23" s="18">
        <f>BR23+BT23</f>
        <v>0</v>
      </c>
      <c r="BW23" s="289"/>
      <c r="BX23" s="18">
        <f>BU23+BW23</f>
        <v>0</v>
      </c>
      <c r="BZ23" s="289"/>
      <c r="CA23" s="18">
        <f>BX23+BZ23</f>
        <v>0</v>
      </c>
      <c r="CC23" s="289"/>
      <c r="CD23" s="18">
        <f>CA23+CC23</f>
        <v>0</v>
      </c>
      <c r="CF23" s="289"/>
      <c r="CG23" s="18">
        <f>CD23+CF23</f>
        <v>0</v>
      </c>
      <c r="CI23" s="289"/>
      <c r="CJ23" s="18">
        <f>CG23+CI23</f>
        <v>0</v>
      </c>
      <c r="CM23" s="18">
        <f>CJ23+CL23</f>
        <v>0</v>
      </c>
      <c r="CP23" s="18">
        <f>CM23+CO23</f>
        <v>0</v>
      </c>
      <c r="CS23" s="18">
        <f>CP23+CR23</f>
        <v>0</v>
      </c>
      <c r="CV23" s="18">
        <f>CS23+CU23</f>
        <v>0</v>
      </c>
      <c r="CY23" s="18">
        <f>CV23+CX23</f>
        <v>0</v>
      </c>
    </row>
    <row r="24" spans="1:107" outlineLevel="1">
      <c r="A24" s="14" t="s">
        <v>303</v>
      </c>
      <c r="B24" s="4" t="s">
        <v>46</v>
      </c>
      <c r="C24" s="4" t="s">
        <v>304</v>
      </c>
      <c r="D24" s="52">
        <v>0</v>
      </c>
      <c r="E24" s="37">
        <v>0</v>
      </c>
      <c r="F24" s="52">
        <v>0</v>
      </c>
      <c r="G24" s="37">
        <v>0</v>
      </c>
      <c r="H24" s="56">
        <v>2094.5</v>
      </c>
      <c r="I24" s="40"/>
      <c r="J24" s="17"/>
      <c r="AF24" s="213"/>
      <c r="AH24" s="18"/>
      <c r="AX24" s="18"/>
      <c r="BD24" s="18"/>
      <c r="BG24" s="18"/>
    </row>
    <row r="25" spans="1:107" outlineLevel="1">
      <c r="A25" s="14" t="s">
        <v>305</v>
      </c>
      <c r="B25" s="14" t="s">
        <v>148</v>
      </c>
      <c r="C25" s="4" t="s">
        <v>149</v>
      </c>
      <c r="D25" s="52">
        <v>0</v>
      </c>
      <c r="E25" s="37">
        <v>0</v>
      </c>
      <c r="F25" s="52">
        <v>0</v>
      </c>
      <c r="G25" s="37">
        <v>0</v>
      </c>
      <c r="H25" s="56">
        <v>1356.5</v>
      </c>
      <c r="I25" s="40">
        <v>1357</v>
      </c>
      <c r="J25" s="17"/>
      <c r="L25" s="141">
        <v>0</v>
      </c>
      <c r="M25" s="20" t="e">
        <f>L25/F25-1</f>
        <v>#DIV/0!</v>
      </c>
      <c r="N25" s="20">
        <f>L25/I25-1</f>
        <v>-1</v>
      </c>
      <c r="AF25" s="213"/>
      <c r="AH25" s="18"/>
      <c r="AX25" s="18"/>
      <c r="BD25" s="18"/>
      <c r="BG25" s="18"/>
    </row>
    <row r="26" spans="1:107" outlineLevel="1">
      <c r="A26" s="14" t="s">
        <v>305</v>
      </c>
      <c r="B26" s="4" t="s">
        <v>46</v>
      </c>
      <c r="C26" s="4" t="s">
        <v>306</v>
      </c>
      <c r="D26" s="52">
        <v>0</v>
      </c>
      <c r="E26" s="37">
        <v>0</v>
      </c>
      <c r="F26" s="52">
        <v>0</v>
      </c>
      <c r="G26" s="37">
        <v>0</v>
      </c>
      <c r="H26" s="56">
        <v>1356.5</v>
      </c>
      <c r="I26" s="40"/>
      <c r="J26" s="17"/>
      <c r="AF26" s="213"/>
      <c r="AH26" s="18"/>
      <c r="AX26" s="18"/>
      <c r="BD26" s="18"/>
      <c r="BG26" s="18"/>
    </row>
    <row r="27" spans="1:107" outlineLevel="1">
      <c r="A27" s="14" t="s">
        <v>307</v>
      </c>
      <c r="B27" s="4" t="s">
        <v>48</v>
      </c>
      <c r="C27" s="4" t="s">
        <v>308</v>
      </c>
      <c r="D27" s="52">
        <v>0</v>
      </c>
      <c r="E27" s="37">
        <v>0</v>
      </c>
      <c r="F27" s="52">
        <v>0</v>
      </c>
      <c r="G27" s="37">
        <v>0</v>
      </c>
      <c r="H27" s="56">
        <v>3451</v>
      </c>
      <c r="I27" s="40"/>
      <c r="J27" s="17"/>
      <c r="AF27" s="213"/>
      <c r="AH27" s="18"/>
      <c r="AX27" s="18"/>
      <c r="BD27" s="18"/>
      <c r="BG27" s="18"/>
    </row>
    <row r="28" spans="1:107" ht="15.75" thickBot="1">
      <c r="A28" s="70" t="s">
        <v>307</v>
      </c>
      <c r="B28" s="71" t="s">
        <v>320</v>
      </c>
      <c r="C28" s="338" t="s">
        <v>308</v>
      </c>
      <c r="D28" s="73">
        <f>D23+D25</f>
        <v>0</v>
      </c>
      <c r="E28" s="74"/>
      <c r="F28" s="73">
        <f>F23+F25</f>
        <v>0</v>
      </c>
      <c r="G28" s="74"/>
      <c r="H28" s="73"/>
      <c r="I28" s="73">
        <f>I23+I25</f>
        <v>3452</v>
      </c>
      <c r="J28" s="156" t="e">
        <f>I28/$I$304</f>
        <v>#REF!</v>
      </c>
      <c r="K28" s="76"/>
      <c r="L28" s="138">
        <f>L23+L25</f>
        <v>0</v>
      </c>
      <c r="M28" s="77" t="e">
        <f>L28/F28-1</f>
        <v>#DIV/0!</v>
      </c>
      <c r="N28" s="77">
        <f>L28/I28-1</f>
        <v>-1</v>
      </c>
      <c r="O28" s="20">
        <f>L28/$L$304</f>
        <v>0</v>
      </c>
      <c r="P28" s="20"/>
      <c r="Q28" s="138">
        <f>Q23+Q25</f>
        <v>0</v>
      </c>
      <c r="S28" s="138">
        <f>S23+S25</f>
        <v>0</v>
      </c>
      <c r="Y28" s="138">
        <f>Y23+Y25</f>
        <v>0</v>
      </c>
      <c r="Z28" s="138">
        <f>Z23+Z25</f>
        <v>0</v>
      </c>
      <c r="AA28" s="138">
        <f>AA23+AA25</f>
        <v>1900</v>
      </c>
      <c r="AB28" s="138">
        <f>AB23+AB25</f>
        <v>1900</v>
      </c>
      <c r="AE28" s="138">
        <f>AE23+AE25</f>
        <v>1900</v>
      </c>
      <c r="AF28" s="213"/>
      <c r="AH28" s="138">
        <f>AH23+AH25</f>
        <v>1812.85</v>
      </c>
      <c r="AI28" s="20">
        <f t="shared" ref="AI28:AI29" si="29">AH28/AE28</f>
        <v>0.95413157894736833</v>
      </c>
      <c r="AK28" s="138">
        <f>AK23+AK25</f>
        <v>10000</v>
      </c>
      <c r="AL28" s="229" t="e">
        <f>AK28/L28</f>
        <v>#DIV/0!</v>
      </c>
      <c r="AM28" s="20">
        <f>AK28/AE28</f>
        <v>5.2631578947368425</v>
      </c>
      <c r="AN28" s="20">
        <f>AK28/AH28</f>
        <v>5.5161761866674022</v>
      </c>
      <c r="AS28" s="138">
        <f>AS23+AS25</f>
        <v>10000</v>
      </c>
      <c r="AU28" s="138">
        <f>AU23+AU25</f>
        <v>0</v>
      </c>
      <c r="AV28" s="138">
        <f>AV23+AV25</f>
        <v>10000</v>
      </c>
      <c r="AX28" s="138">
        <f>AX23+AX25</f>
        <v>0</v>
      </c>
      <c r="AY28" s="138">
        <f>AY23+AY25</f>
        <v>10000</v>
      </c>
      <c r="BA28" s="138">
        <f>BA23+BA25</f>
        <v>0</v>
      </c>
      <c r="BB28" s="138">
        <f>BB23+BB25</f>
        <v>10000</v>
      </c>
      <c r="BD28" s="138">
        <f>BD23+BD25</f>
        <v>-10000</v>
      </c>
      <c r="BE28" s="138">
        <f>BE23+BE25</f>
        <v>0</v>
      </c>
      <c r="BG28" s="138">
        <f>BG23+BG25</f>
        <v>0</v>
      </c>
      <c r="BH28" s="138">
        <f>BH23+BH25</f>
        <v>0</v>
      </c>
      <c r="BJ28" s="138">
        <f>BJ23+BJ25</f>
        <v>0</v>
      </c>
      <c r="BK28" s="280" t="e">
        <f t="shared" ref="BK28" si="30">BJ28/BH28</f>
        <v>#DIV/0!</v>
      </c>
      <c r="BM28" s="138">
        <f>BM23+BM25</f>
        <v>0</v>
      </c>
      <c r="BN28" s="280" t="e">
        <f t="shared" ref="BN28" si="31">BM28/BJ28</f>
        <v>#DIV/0!</v>
      </c>
      <c r="BO28" s="280" t="e">
        <f t="shared" ref="BO28" si="32">BM28/BH28</f>
        <v>#DIV/0!</v>
      </c>
      <c r="BQ28" s="138">
        <f>BQ23+BQ25</f>
        <v>0</v>
      </c>
      <c r="BR28" s="138">
        <f>BR23+BR25</f>
        <v>0</v>
      </c>
      <c r="BT28" s="138">
        <f>BT23+BT25</f>
        <v>0</v>
      </c>
      <c r="BU28" s="138">
        <f>BU23+BU25</f>
        <v>0</v>
      </c>
      <c r="BW28" s="138">
        <f>BW23+BW25</f>
        <v>0</v>
      </c>
      <c r="BX28" s="138">
        <f>BX23+BX25</f>
        <v>0</v>
      </c>
      <c r="BZ28" s="138">
        <f>BZ23+BZ25</f>
        <v>0</v>
      </c>
      <c r="CA28" s="138">
        <f>CA23+CA25</f>
        <v>0</v>
      </c>
      <c r="CC28" s="138">
        <f>CC23+CC25</f>
        <v>0</v>
      </c>
      <c r="CD28" s="138">
        <f>CD23+CD25</f>
        <v>0</v>
      </c>
      <c r="CF28" s="138">
        <f>CF23+CF25</f>
        <v>0</v>
      </c>
      <c r="CG28" s="138">
        <f>CG23+CG25</f>
        <v>0</v>
      </c>
      <c r="CI28" s="138">
        <f>CI23+CI25</f>
        <v>0</v>
      </c>
      <c r="CJ28" s="138">
        <f>CJ23+CJ25</f>
        <v>0</v>
      </c>
      <c r="CL28" s="391">
        <f>CL23+CL25</f>
        <v>0</v>
      </c>
      <c r="CM28" s="138">
        <f>CM23+CM25</f>
        <v>0</v>
      </c>
      <c r="CO28" s="138">
        <f>CO23+CO25</f>
        <v>0</v>
      </c>
      <c r="CP28" s="138">
        <f>CP23+CP25</f>
        <v>0</v>
      </c>
      <c r="CR28" s="138">
        <f>CR23+CR25</f>
        <v>0</v>
      </c>
      <c r="CS28" s="138">
        <f>CS23+CS25</f>
        <v>0</v>
      </c>
      <c r="CU28" s="138">
        <f>CU23+CU25</f>
        <v>0</v>
      </c>
      <c r="CV28" s="138">
        <f>CV23+CV25</f>
        <v>0</v>
      </c>
      <c r="CX28" s="138">
        <f>CX23+CX25</f>
        <v>0</v>
      </c>
      <c r="CY28" s="138">
        <f>CY23+CY25</f>
        <v>0</v>
      </c>
      <c r="DA28" s="138">
        <f>DA23+DA25</f>
        <v>0</v>
      </c>
      <c r="DC28" s="138">
        <f>DC23+DC25</f>
        <v>0</v>
      </c>
    </row>
    <row r="29" spans="1:107" ht="15.75" outlineLevel="1" thickTop="1">
      <c r="A29" s="14" t="s">
        <v>124</v>
      </c>
      <c r="B29" s="14" t="s">
        <v>125</v>
      </c>
      <c r="C29" s="4" t="s">
        <v>126</v>
      </c>
      <c r="D29" s="52">
        <v>25000</v>
      </c>
      <c r="E29" s="37">
        <v>98.28</v>
      </c>
      <c r="F29" s="52">
        <v>25000</v>
      </c>
      <c r="G29" s="37">
        <v>98.28</v>
      </c>
      <c r="H29" s="56">
        <v>24570</v>
      </c>
      <c r="I29" s="40">
        <v>24570</v>
      </c>
      <c r="J29" s="17"/>
      <c r="K29" t="s">
        <v>336</v>
      </c>
      <c r="L29" s="134">
        <v>51900</v>
      </c>
      <c r="M29" s="20">
        <f>L29/F29-1</f>
        <v>1.0760000000000001</v>
      </c>
      <c r="N29" s="20">
        <f>L29/I29-1</f>
        <v>1.1123321123321124</v>
      </c>
      <c r="Q29" s="134">
        <f>L29</f>
        <v>51900</v>
      </c>
      <c r="R29" s="18">
        <v>25950</v>
      </c>
      <c r="S29" s="134">
        <f>Q29</f>
        <v>51900</v>
      </c>
      <c r="T29" s="177">
        <f>S29-Q29</f>
        <v>0</v>
      </c>
      <c r="U29" s="19">
        <f>S29/Q29-1</f>
        <v>0</v>
      </c>
      <c r="Y29" s="134">
        <v>51900</v>
      </c>
      <c r="AA29" s="134">
        <v>51900</v>
      </c>
      <c r="AB29" s="216">
        <f>AA29-Y29</f>
        <v>0</v>
      </c>
      <c r="AC29" s="219">
        <f t="shared" ref="AC29" si="33">AA29-Y29</f>
        <v>0</v>
      </c>
      <c r="AD29" s="219"/>
      <c r="AE29" s="134">
        <v>51900</v>
      </c>
      <c r="AF29" s="213"/>
      <c r="AH29" s="18">
        <v>51900</v>
      </c>
      <c r="AI29" s="20">
        <f t="shared" si="29"/>
        <v>1</v>
      </c>
      <c r="AK29" s="134">
        <v>53600</v>
      </c>
      <c r="AS29" s="18">
        <f t="shared" ref="AS29" si="34">AR29+AK29</f>
        <v>53600</v>
      </c>
      <c r="AV29" s="18">
        <f>AS29+AU29</f>
        <v>53600</v>
      </c>
      <c r="AX29" s="18"/>
      <c r="AY29" s="18">
        <f>AV29+AX29</f>
        <v>53600</v>
      </c>
      <c r="BB29" s="18">
        <f>AY29+BA29</f>
        <v>53600</v>
      </c>
      <c r="BD29" s="18"/>
      <c r="BE29" s="18">
        <f>BB29+BD29</f>
        <v>53600</v>
      </c>
      <c r="BG29" s="18"/>
      <c r="BH29" s="18">
        <f>BE29+BG29</f>
        <v>53600</v>
      </c>
      <c r="BJ29" s="18">
        <v>53560.800000000003</v>
      </c>
      <c r="BK29" s="279">
        <f t="shared" ref="BK29" si="35">BJ29/BH29</f>
        <v>0.99926865671641796</v>
      </c>
      <c r="BM29" s="348">
        <v>55600</v>
      </c>
      <c r="BN29" s="279">
        <f t="shared" ref="BN29" si="36">BM29/BJ29</f>
        <v>1.0380726202745292</v>
      </c>
      <c r="BO29" s="279">
        <f t="shared" ref="BO29" si="37">BM29/BH29</f>
        <v>1.0373134328358209</v>
      </c>
      <c r="BQ29" s="289"/>
      <c r="BR29" s="18">
        <f>BM29+BQ29</f>
        <v>55600</v>
      </c>
      <c r="BT29" s="289"/>
      <c r="BU29" s="18">
        <f>BR29+BT29</f>
        <v>55600</v>
      </c>
      <c r="BW29" s="289"/>
      <c r="BX29" s="18">
        <f>BU29+BW29</f>
        <v>55600</v>
      </c>
      <c r="BZ29" s="289"/>
      <c r="CA29" s="18">
        <f>BX29+BZ29</f>
        <v>55600</v>
      </c>
      <c r="CC29" s="289"/>
      <c r="CD29" s="18">
        <f>CA29+CC29</f>
        <v>55600</v>
      </c>
      <c r="CF29" s="289"/>
      <c r="CG29" s="18">
        <f>CD29+CF29</f>
        <v>55600</v>
      </c>
      <c r="CI29" s="289"/>
      <c r="CJ29" s="18">
        <f>CG29+CI29</f>
        <v>55600</v>
      </c>
      <c r="CM29" s="18">
        <f>CJ29+CL29</f>
        <v>55600</v>
      </c>
      <c r="CP29" s="18">
        <f>CM29+CO29</f>
        <v>55600</v>
      </c>
      <c r="CS29" s="18">
        <f>CP29+CR29</f>
        <v>55600</v>
      </c>
      <c r="CV29" s="18">
        <f>CS29+CU29</f>
        <v>55600</v>
      </c>
      <c r="CY29" s="18">
        <f>CV29+CX29</f>
        <v>55600</v>
      </c>
      <c r="DA29" s="289">
        <v>55596.1</v>
      </c>
      <c r="DC29" s="289">
        <v>0</v>
      </c>
    </row>
    <row r="30" spans="1:107" outlineLevel="1">
      <c r="A30" s="425" t="s">
        <v>124</v>
      </c>
      <c r="B30" s="425" t="s">
        <v>590</v>
      </c>
      <c r="C30" s="4" t="s">
        <v>591</v>
      </c>
      <c r="D30" s="52"/>
      <c r="E30" s="37"/>
      <c r="F30" s="52"/>
      <c r="G30" s="37"/>
      <c r="H30" s="56"/>
      <c r="I30" s="40"/>
      <c r="J30" s="17"/>
      <c r="M30" s="20"/>
      <c r="N30" s="20"/>
      <c r="T30" s="177"/>
      <c r="U30" s="19"/>
      <c r="Y30" s="134"/>
      <c r="AB30" s="216"/>
      <c r="AC30" s="219"/>
      <c r="AD30" s="219"/>
      <c r="AF30" s="213"/>
      <c r="AH30" s="18"/>
      <c r="AI30" s="20"/>
      <c r="AS30" s="18"/>
      <c r="AV30" s="18"/>
      <c r="AX30" s="18"/>
      <c r="AY30" s="18"/>
      <c r="BB30" s="18"/>
      <c r="BD30" s="18"/>
      <c r="BE30" s="18"/>
      <c r="BG30" s="18"/>
      <c r="BH30" s="18"/>
      <c r="BK30" s="279"/>
      <c r="BM30" s="348"/>
      <c r="BN30" s="279"/>
      <c r="BO30" s="279"/>
      <c r="BQ30" s="289"/>
      <c r="BR30" s="18"/>
      <c r="BT30" s="289"/>
      <c r="BU30" s="18"/>
      <c r="BW30" s="289"/>
      <c r="BX30" s="18"/>
      <c r="BZ30" s="289"/>
      <c r="CA30" s="18"/>
      <c r="CC30" s="289"/>
      <c r="CD30" s="18"/>
      <c r="CF30" s="289"/>
      <c r="CG30" s="18"/>
      <c r="CI30" s="289"/>
      <c r="CJ30" s="18"/>
      <c r="CM30" s="18"/>
      <c r="CP30" s="18"/>
      <c r="CS30" s="18"/>
      <c r="CV30" s="18"/>
      <c r="CY30" s="18"/>
      <c r="DC30" s="327">
        <v>63991.1</v>
      </c>
    </row>
    <row r="31" spans="1:107" outlineLevel="1">
      <c r="A31" s="14" t="s">
        <v>124</v>
      </c>
      <c r="B31" s="4" t="s">
        <v>46</v>
      </c>
      <c r="C31" s="4" t="s">
        <v>127</v>
      </c>
      <c r="D31" s="52">
        <v>25000</v>
      </c>
      <c r="E31" s="37">
        <v>98.28</v>
      </c>
      <c r="F31" s="52">
        <v>25000</v>
      </c>
      <c r="G31" s="37">
        <v>98.28</v>
      </c>
      <c r="H31" s="56">
        <v>24570</v>
      </c>
      <c r="I31" s="40"/>
      <c r="J31" s="17"/>
      <c r="Y31" s="134"/>
      <c r="AF31" s="213"/>
      <c r="AH31" s="18"/>
      <c r="AX31" s="18"/>
      <c r="BD31" s="18"/>
      <c r="BG31" s="18"/>
    </row>
    <row r="32" spans="1:107" outlineLevel="1">
      <c r="A32" s="14" t="s">
        <v>128</v>
      </c>
      <c r="B32" s="4" t="s">
        <v>48</v>
      </c>
      <c r="C32" s="4" t="s">
        <v>129</v>
      </c>
      <c r="D32" s="52">
        <v>25000</v>
      </c>
      <c r="E32" s="37">
        <v>98.28</v>
      </c>
      <c r="F32" s="52">
        <v>25000</v>
      </c>
      <c r="G32" s="37">
        <v>98.28</v>
      </c>
      <c r="H32" s="56">
        <v>24570</v>
      </c>
      <c r="I32" s="40"/>
      <c r="J32" s="17"/>
      <c r="Y32" s="134"/>
      <c r="AF32" s="213"/>
      <c r="AH32" s="18"/>
      <c r="AX32" s="18"/>
      <c r="BD32" s="18"/>
      <c r="BG32" s="18"/>
    </row>
    <row r="33" spans="1:107" ht="15.75" thickBot="1">
      <c r="A33" s="70" t="s">
        <v>128</v>
      </c>
      <c r="B33" s="71" t="s">
        <v>320</v>
      </c>
      <c r="C33" s="72" t="s">
        <v>329</v>
      </c>
      <c r="D33" s="73">
        <f>D29</f>
        <v>25000</v>
      </c>
      <c r="E33" s="74"/>
      <c r="F33" s="73">
        <f>F29</f>
        <v>25000</v>
      </c>
      <c r="G33" s="74"/>
      <c r="H33" s="73"/>
      <c r="I33" s="73">
        <f>I29</f>
        <v>24570</v>
      </c>
      <c r="J33" s="156" t="e">
        <f>I33/$I$304</f>
        <v>#REF!</v>
      </c>
      <c r="K33" s="76"/>
      <c r="L33" s="138">
        <f>L29</f>
        <v>51900</v>
      </c>
      <c r="M33" s="77">
        <f>L33/F33-1</f>
        <v>1.0760000000000001</v>
      </c>
      <c r="N33" s="77">
        <f>L33/I33-1</f>
        <v>1.1123321123321124</v>
      </c>
      <c r="O33" s="20">
        <f>L33/$L$304</f>
        <v>1.2041763564580298E-2</v>
      </c>
      <c r="P33" s="20"/>
      <c r="Q33" s="138">
        <f>Q29</f>
        <v>51900</v>
      </c>
      <c r="R33" s="138">
        <f>R29</f>
        <v>25950</v>
      </c>
      <c r="S33" s="138">
        <f>S29</f>
        <v>51900</v>
      </c>
      <c r="T33" s="138">
        <f>T29</f>
        <v>0</v>
      </c>
      <c r="U33" s="175">
        <f>S33/Q33-1</f>
        <v>0</v>
      </c>
      <c r="Y33" s="138">
        <f>Y29</f>
        <v>51900</v>
      </c>
      <c r="AA33" s="138">
        <f>AA29</f>
        <v>51900</v>
      </c>
      <c r="AB33" s="138">
        <f>AB29</f>
        <v>0</v>
      </c>
      <c r="AE33" s="138">
        <f>AE29</f>
        <v>51900</v>
      </c>
      <c r="AF33" s="213"/>
      <c r="AH33" s="138">
        <f>AH29</f>
        <v>51900</v>
      </c>
      <c r="AI33" s="20">
        <f t="shared" ref="AI33" si="38">AH33/AE33</f>
        <v>1</v>
      </c>
      <c r="AK33" s="138">
        <f>AK29</f>
        <v>53600</v>
      </c>
      <c r="AL33" s="229">
        <f>AK33/L33</f>
        <v>1.0327552986512525</v>
      </c>
      <c r="AM33" s="20">
        <f>AK33/AE33</f>
        <v>1.0327552986512525</v>
      </c>
      <c r="AN33" s="20">
        <f>AK33/AH33</f>
        <v>1.0327552986512525</v>
      </c>
      <c r="AS33" s="138">
        <f>AS29</f>
        <v>53600</v>
      </c>
      <c r="AU33" s="138">
        <f>AU29</f>
        <v>0</v>
      </c>
      <c r="AV33" s="138">
        <f>AV29</f>
        <v>53600</v>
      </c>
      <c r="AX33" s="138">
        <f>AX29</f>
        <v>0</v>
      </c>
      <c r="AY33" s="138">
        <f>AY29</f>
        <v>53600</v>
      </c>
      <c r="BA33" s="138">
        <f>BA29</f>
        <v>0</v>
      </c>
      <c r="BB33" s="138">
        <f>BB29</f>
        <v>53600</v>
      </c>
      <c r="BD33" s="138">
        <f>BD29</f>
        <v>0</v>
      </c>
      <c r="BE33" s="138">
        <f>BE29</f>
        <v>53600</v>
      </c>
      <c r="BG33" s="138">
        <f>BG29</f>
        <v>0</v>
      </c>
      <c r="BH33" s="138">
        <f>BH29</f>
        <v>53600</v>
      </c>
      <c r="BJ33" s="138">
        <f>BJ29</f>
        <v>53560.800000000003</v>
      </c>
      <c r="BK33" s="280">
        <f t="shared" ref="BK33" si="39">BJ33/BH33</f>
        <v>0.99926865671641796</v>
      </c>
      <c r="BM33" s="138">
        <f>BM29</f>
        <v>55600</v>
      </c>
      <c r="BN33" s="280">
        <f t="shared" ref="BN33" si="40">BM33/BJ33</f>
        <v>1.0380726202745292</v>
      </c>
      <c r="BO33" s="280">
        <f t="shared" ref="BO33" si="41">BM33/BH33</f>
        <v>1.0373134328358209</v>
      </c>
      <c r="BQ33" s="138">
        <f>BQ29</f>
        <v>0</v>
      </c>
      <c r="BR33" s="138">
        <f>BR29</f>
        <v>55600</v>
      </c>
      <c r="BT33" s="138">
        <f>BT29</f>
        <v>0</v>
      </c>
      <c r="BU33" s="138">
        <f>BU29</f>
        <v>55600</v>
      </c>
      <c r="BW33" s="138">
        <f>BW29</f>
        <v>0</v>
      </c>
      <c r="BX33" s="138">
        <f>BX29</f>
        <v>55600</v>
      </c>
      <c r="BZ33" s="138">
        <f>BZ29</f>
        <v>0</v>
      </c>
      <c r="CA33" s="138">
        <f>CA29</f>
        <v>55600</v>
      </c>
      <c r="CC33" s="138">
        <f>CC29</f>
        <v>0</v>
      </c>
      <c r="CD33" s="138">
        <f>CD29</f>
        <v>55600</v>
      </c>
      <c r="CF33" s="138">
        <f>CF29</f>
        <v>0</v>
      </c>
      <c r="CG33" s="138">
        <f>CG29</f>
        <v>55600</v>
      </c>
      <c r="CI33" s="138">
        <f>CI29</f>
        <v>0</v>
      </c>
      <c r="CJ33" s="138">
        <f>CJ29</f>
        <v>55600</v>
      </c>
      <c r="CL33" s="391">
        <f>CL29</f>
        <v>0</v>
      </c>
      <c r="CM33" s="138">
        <f>CM29</f>
        <v>55600</v>
      </c>
      <c r="CO33" s="138">
        <f>CO29</f>
        <v>0</v>
      </c>
      <c r="CP33" s="138">
        <f>CP29</f>
        <v>55600</v>
      </c>
      <c r="CR33" s="138">
        <f>CR29</f>
        <v>0</v>
      </c>
      <c r="CS33" s="138">
        <f>CS29</f>
        <v>55600</v>
      </c>
      <c r="CU33" s="138">
        <f>CU29</f>
        <v>0</v>
      </c>
      <c r="CV33" s="138">
        <f>CV29</f>
        <v>55600</v>
      </c>
      <c r="CX33" s="138">
        <f>CX29</f>
        <v>0</v>
      </c>
      <c r="CY33" s="138">
        <f>CY29</f>
        <v>55600</v>
      </c>
      <c r="DA33" s="138">
        <f>DA29</f>
        <v>55596.1</v>
      </c>
      <c r="DC33" s="138">
        <f>DC29+DC30</f>
        <v>63991.1</v>
      </c>
    </row>
    <row r="34" spans="1:107" ht="15.75" outlineLevel="1" thickTop="1">
      <c r="A34" s="14" t="s">
        <v>130</v>
      </c>
      <c r="B34" s="14" t="s">
        <v>117</v>
      </c>
      <c r="C34" s="4" t="s">
        <v>118</v>
      </c>
      <c r="D34" s="52">
        <v>2000</v>
      </c>
      <c r="E34" s="37">
        <v>0</v>
      </c>
      <c r="F34" s="52">
        <v>2000</v>
      </c>
      <c r="G34" s="37">
        <v>0</v>
      </c>
      <c r="H34" s="56">
        <v>0</v>
      </c>
      <c r="I34" s="40">
        <v>0</v>
      </c>
      <c r="J34" s="17"/>
      <c r="M34" s="20">
        <f>L34/F34-1</f>
        <v>-1</v>
      </c>
      <c r="N34" s="20" t="e">
        <f>L34/I34-1</f>
        <v>#DIV/0!</v>
      </c>
      <c r="AF34" s="213"/>
      <c r="AH34" s="18"/>
      <c r="AX34" s="18"/>
      <c r="BD34" s="18"/>
      <c r="BG34" s="18"/>
    </row>
    <row r="35" spans="1:107" outlineLevel="1">
      <c r="A35" s="14" t="s">
        <v>130</v>
      </c>
      <c r="B35" s="14" t="s">
        <v>131</v>
      </c>
      <c r="C35" s="4" t="s">
        <v>132</v>
      </c>
      <c r="D35" s="52">
        <v>565000</v>
      </c>
      <c r="E35" s="37">
        <v>52.04</v>
      </c>
      <c r="F35" s="52">
        <v>565000</v>
      </c>
      <c r="G35" s="37">
        <v>52.04</v>
      </c>
      <c r="H35" s="56">
        <v>294000</v>
      </c>
      <c r="I35" s="18">
        <f>H35/2*3</f>
        <v>441000</v>
      </c>
      <c r="K35" t="s">
        <v>336</v>
      </c>
      <c r="L35" s="142">
        <v>441000</v>
      </c>
      <c r="M35" s="20">
        <f>L35/F35-1</f>
        <v>-0.21946902654867262</v>
      </c>
      <c r="N35" s="20">
        <f>L35/I35-1</f>
        <v>0</v>
      </c>
      <c r="O35" t="s">
        <v>393</v>
      </c>
      <c r="Q35" s="134">
        <v>571000</v>
      </c>
      <c r="R35" s="18">
        <v>290000</v>
      </c>
      <c r="S35" s="134">
        <v>571000</v>
      </c>
      <c r="T35" s="177">
        <f>S35-Q35</f>
        <v>0</v>
      </c>
      <c r="U35" s="19">
        <f>S35/Q35-1</f>
        <v>0</v>
      </c>
      <c r="Y35" s="134">
        <v>571000</v>
      </c>
      <c r="AA35" s="134">
        <v>571000</v>
      </c>
      <c r="AB35" s="216">
        <f>AA35-Y35</f>
        <v>0</v>
      </c>
      <c r="AC35" s="219">
        <f t="shared" ref="AC35" si="42">AA35-Y35</f>
        <v>0</v>
      </c>
      <c r="AD35" s="219"/>
      <c r="AE35" s="134">
        <v>571000</v>
      </c>
      <c r="AF35" s="213"/>
      <c r="AH35" s="18">
        <v>571000</v>
      </c>
      <c r="AI35" s="20">
        <f t="shared" ref="AI35" si="43">AH35/AE35</f>
        <v>1</v>
      </c>
      <c r="AK35" s="134">
        <v>571000</v>
      </c>
      <c r="AS35" s="18">
        <f t="shared" ref="AS35" si="44">AR35+AK35</f>
        <v>571000</v>
      </c>
      <c r="AV35" s="18">
        <f>AS35+AU35</f>
        <v>571000</v>
      </c>
      <c r="AX35" s="18"/>
      <c r="AY35" s="18">
        <f>AV35+AX35</f>
        <v>571000</v>
      </c>
      <c r="BB35" s="18">
        <f>AY35+BA35</f>
        <v>571000</v>
      </c>
      <c r="BD35" s="18"/>
      <c r="BE35" s="18">
        <f>BB35+BD35</f>
        <v>571000</v>
      </c>
      <c r="BG35" s="18"/>
      <c r="BH35" s="18">
        <f>BE35+BG35</f>
        <v>571000</v>
      </c>
      <c r="BJ35" s="18">
        <v>571000</v>
      </c>
      <c r="BK35" s="279">
        <f t="shared" ref="BK35" si="45">BJ35/BH35</f>
        <v>1</v>
      </c>
      <c r="BM35" s="348">
        <v>571000</v>
      </c>
      <c r="BN35" s="279">
        <f t="shared" ref="BN35" si="46">BM35/BJ35</f>
        <v>1</v>
      </c>
      <c r="BO35" s="279">
        <f t="shared" ref="BO35" si="47">BM35/BH35</f>
        <v>1</v>
      </c>
      <c r="BQ35" s="289"/>
      <c r="BR35" s="18">
        <f>BM35+BQ35</f>
        <v>571000</v>
      </c>
      <c r="BT35" s="289"/>
      <c r="BU35" s="18">
        <f>BR35+BT35</f>
        <v>571000</v>
      </c>
      <c r="BW35" s="289"/>
      <c r="BX35" s="18">
        <f>BU35+BW35</f>
        <v>571000</v>
      </c>
      <c r="BZ35" s="289"/>
      <c r="CA35" s="18">
        <f>BX35+BZ35</f>
        <v>571000</v>
      </c>
      <c r="CC35" s="289"/>
      <c r="CD35" s="18">
        <f>CA35+CC35</f>
        <v>571000</v>
      </c>
      <c r="CF35" s="289"/>
      <c r="CG35" s="18">
        <f>CD35+CF35</f>
        <v>571000</v>
      </c>
      <c r="CI35" s="289"/>
      <c r="CJ35" s="18">
        <f>CG35+CI35</f>
        <v>571000</v>
      </c>
      <c r="CM35" s="18">
        <f>CJ35+CL35</f>
        <v>571000</v>
      </c>
      <c r="CO35" s="327"/>
      <c r="CP35" s="18">
        <f>CM35+CO35</f>
        <v>571000</v>
      </c>
      <c r="CR35" s="327"/>
      <c r="CS35" s="18">
        <f>CP35+CR35</f>
        <v>571000</v>
      </c>
      <c r="CU35" s="327"/>
      <c r="CV35" s="18">
        <f>CS35+CU35</f>
        <v>571000</v>
      </c>
      <c r="CX35" s="327"/>
      <c r="CY35" s="18">
        <f>CV35+CX35</f>
        <v>571000</v>
      </c>
      <c r="DA35" s="327">
        <v>571000</v>
      </c>
      <c r="DC35" s="327">
        <v>571000</v>
      </c>
    </row>
    <row r="36" spans="1:107" outlineLevel="1">
      <c r="A36" s="14" t="s">
        <v>130</v>
      </c>
      <c r="B36" s="4" t="s">
        <v>46</v>
      </c>
      <c r="C36" s="4" t="s">
        <v>133</v>
      </c>
      <c r="D36" s="52">
        <v>567000</v>
      </c>
      <c r="E36" s="37">
        <v>51.85</v>
      </c>
      <c r="F36" s="52">
        <v>567000</v>
      </c>
      <c r="G36" s="37">
        <v>51.85</v>
      </c>
      <c r="H36" s="56">
        <v>294000</v>
      </c>
      <c r="I36" s="40"/>
      <c r="J36" s="17"/>
      <c r="Y36" s="134"/>
      <c r="AF36" s="213"/>
      <c r="AH36" s="18"/>
      <c r="AX36" s="18"/>
      <c r="BD36" s="18"/>
      <c r="BG36" s="18"/>
    </row>
    <row r="37" spans="1:107" outlineLevel="1">
      <c r="A37" s="14" t="s">
        <v>134</v>
      </c>
      <c r="B37" s="4" t="s">
        <v>48</v>
      </c>
      <c r="C37" s="4" t="s">
        <v>135</v>
      </c>
      <c r="D37" s="52">
        <v>567000</v>
      </c>
      <c r="E37" s="37">
        <v>51.85</v>
      </c>
      <c r="F37" s="52">
        <v>567000</v>
      </c>
      <c r="G37" s="37">
        <v>51.85</v>
      </c>
      <c r="H37" s="56">
        <v>294000</v>
      </c>
      <c r="I37" s="40"/>
      <c r="J37" s="17"/>
      <c r="Y37" s="134"/>
      <c r="AF37" s="213"/>
      <c r="AH37" s="18"/>
      <c r="AX37" s="18"/>
      <c r="BD37" s="18"/>
      <c r="BG37" s="18"/>
    </row>
    <row r="38" spans="1:107" ht="15.75" thickBot="1">
      <c r="A38" s="70" t="s">
        <v>134</v>
      </c>
      <c r="B38" s="71" t="s">
        <v>320</v>
      </c>
      <c r="C38" s="72" t="s">
        <v>135</v>
      </c>
      <c r="D38" s="73">
        <f>D34+D35</f>
        <v>567000</v>
      </c>
      <c r="E38" s="74"/>
      <c r="F38" s="73">
        <f>F34+F35</f>
        <v>567000</v>
      </c>
      <c r="G38" s="74"/>
      <c r="H38" s="73"/>
      <c r="I38" s="73">
        <f>I34+I35</f>
        <v>441000</v>
      </c>
      <c r="J38" s="156" t="e">
        <f>I38/$I$304</f>
        <v>#REF!</v>
      </c>
      <c r="K38" s="76"/>
      <c r="L38" s="138">
        <f>L34+L35</f>
        <v>441000</v>
      </c>
      <c r="M38" s="77">
        <f>L38/F38-1</f>
        <v>-0.22222222222222221</v>
      </c>
      <c r="N38" s="77">
        <f>L38/I38-1</f>
        <v>0</v>
      </c>
      <c r="O38" s="20">
        <f>L38/$L$304</f>
        <v>0.10232018751406381</v>
      </c>
      <c r="P38" s="20"/>
      <c r="Q38" s="138">
        <f>Q35</f>
        <v>571000</v>
      </c>
      <c r="R38" s="138">
        <f>R35</f>
        <v>290000</v>
      </c>
      <c r="S38" s="138">
        <f>S35</f>
        <v>571000</v>
      </c>
      <c r="T38" s="138">
        <f>T35</f>
        <v>0</v>
      </c>
      <c r="U38" s="175">
        <f>S38/Q38-1</f>
        <v>0</v>
      </c>
      <c r="Y38" s="138">
        <f>Y35</f>
        <v>571000</v>
      </c>
      <c r="AA38" s="138">
        <f>AA35</f>
        <v>571000</v>
      </c>
      <c r="AB38" s="138">
        <f>AB35</f>
        <v>0</v>
      </c>
      <c r="AE38" s="138">
        <f>AE35</f>
        <v>571000</v>
      </c>
      <c r="AF38" s="213"/>
      <c r="AH38" s="138">
        <f>AH35</f>
        <v>571000</v>
      </c>
      <c r="AI38" s="20">
        <f t="shared" ref="AI38:AI39" si="48">AH38/AE38</f>
        <v>1</v>
      </c>
      <c r="AK38" s="138">
        <f>AK35</f>
        <v>571000</v>
      </c>
      <c r="AL38" s="229">
        <f>AK38/L38</f>
        <v>1.2947845804988662</v>
      </c>
      <c r="AM38" s="20">
        <f>AK38/AE38</f>
        <v>1</v>
      </c>
      <c r="AN38" s="20">
        <f>AK38/AH38</f>
        <v>1</v>
      </c>
      <c r="AS38" s="138">
        <f>AS35</f>
        <v>571000</v>
      </c>
      <c r="AU38" s="138">
        <f>AU35</f>
        <v>0</v>
      </c>
      <c r="AV38" s="138">
        <f>AV35</f>
        <v>571000</v>
      </c>
      <c r="AX38" s="138">
        <f>AX35</f>
        <v>0</v>
      </c>
      <c r="AY38" s="138">
        <f>AY35</f>
        <v>571000</v>
      </c>
      <c r="BA38" s="138">
        <f>BA35</f>
        <v>0</v>
      </c>
      <c r="BB38" s="138">
        <f>BB35</f>
        <v>571000</v>
      </c>
      <c r="BD38" s="138">
        <f>BD35</f>
        <v>0</v>
      </c>
      <c r="BE38" s="138">
        <f>BE35</f>
        <v>571000</v>
      </c>
      <c r="BG38" s="138">
        <f>BG35</f>
        <v>0</v>
      </c>
      <c r="BH38" s="138">
        <f>BH35</f>
        <v>571000</v>
      </c>
      <c r="BJ38" s="138">
        <f>BJ35</f>
        <v>571000</v>
      </c>
      <c r="BK38" s="280">
        <f t="shared" ref="BK38" si="49">BJ38/BH38</f>
        <v>1</v>
      </c>
      <c r="BM38" s="138">
        <f>BM35</f>
        <v>571000</v>
      </c>
      <c r="BN38" s="280">
        <f t="shared" ref="BN38" si="50">BM38/BJ38</f>
        <v>1</v>
      </c>
      <c r="BO38" s="280">
        <f t="shared" ref="BO38" si="51">BM38/BH38</f>
        <v>1</v>
      </c>
      <c r="BQ38" s="138">
        <f>BQ35</f>
        <v>0</v>
      </c>
      <c r="BR38" s="138">
        <f>BR35</f>
        <v>571000</v>
      </c>
      <c r="BT38" s="138">
        <f>BT35</f>
        <v>0</v>
      </c>
      <c r="BU38" s="138">
        <f>BU35</f>
        <v>571000</v>
      </c>
      <c r="BW38" s="138">
        <f>BW35</f>
        <v>0</v>
      </c>
      <c r="BX38" s="138">
        <f>BX35</f>
        <v>571000</v>
      </c>
      <c r="BZ38" s="138">
        <f>BZ35</f>
        <v>0</v>
      </c>
      <c r="CA38" s="138">
        <f>CA35</f>
        <v>571000</v>
      </c>
      <c r="CC38" s="138">
        <f>CC35</f>
        <v>0</v>
      </c>
      <c r="CD38" s="138">
        <f>CD35</f>
        <v>571000</v>
      </c>
      <c r="CF38" s="138">
        <f>CF35</f>
        <v>0</v>
      </c>
      <c r="CG38" s="138">
        <f>CG35</f>
        <v>571000</v>
      </c>
      <c r="CI38" s="138">
        <f>CI35</f>
        <v>0</v>
      </c>
      <c r="CJ38" s="138">
        <f>CJ35</f>
        <v>571000</v>
      </c>
      <c r="CL38" s="391">
        <f>CL35</f>
        <v>0</v>
      </c>
      <c r="CM38" s="138">
        <f>CM35</f>
        <v>571000</v>
      </c>
      <c r="CO38" s="138">
        <f>CO35</f>
        <v>0</v>
      </c>
      <c r="CP38" s="138">
        <f>CP35</f>
        <v>571000</v>
      </c>
      <c r="CR38" s="138">
        <f>CR35</f>
        <v>0</v>
      </c>
      <c r="CS38" s="138">
        <f>CS35</f>
        <v>571000</v>
      </c>
      <c r="CU38" s="138">
        <f>CU35</f>
        <v>0</v>
      </c>
      <c r="CV38" s="138">
        <f>CV35</f>
        <v>571000</v>
      </c>
      <c r="CX38" s="138">
        <f>CX35</f>
        <v>0</v>
      </c>
      <c r="CY38" s="138">
        <f>CY35</f>
        <v>571000</v>
      </c>
      <c r="DA38" s="138">
        <f>DA35</f>
        <v>571000</v>
      </c>
      <c r="DC38" s="138">
        <f>DC35</f>
        <v>571000</v>
      </c>
    </row>
    <row r="39" spans="1:107" ht="15.75" outlineLevel="1" thickTop="1">
      <c r="A39" s="14" t="s">
        <v>62</v>
      </c>
      <c r="B39" s="14" t="s">
        <v>136</v>
      </c>
      <c r="C39" s="4" t="s">
        <v>137</v>
      </c>
      <c r="D39" s="52">
        <v>60000</v>
      </c>
      <c r="E39" s="37">
        <v>16</v>
      </c>
      <c r="F39" s="52">
        <v>9600</v>
      </c>
      <c r="G39" s="37">
        <v>100</v>
      </c>
      <c r="H39" s="56">
        <v>9600</v>
      </c>
      <c r="I39" s="40">
        <v>9600</v>
      </c>
      <c r="J39" s="17"/>
      <c r="K39" t="s">
        <v>336</v>
      </c>
      <c r="L39" s="134">
        <v>10000</v>
      </c>
      <c r="M39" s="20">
        <f>L39/F39-1</f>
        <v>4.1666666666666741E-2</v>
      </c>
      <c r="N39" s="20">
        <f>L39/I39-1</f>
        <v>4.1666666666666741E-2</v>
      </c>
      <c r="Q39" s="134">
        <v>10000</v>
      </c>
      <c r="R39" s="18">
        <v>0</v>
      </c>
      <c r="S39" s="134">
        <v>10000</v>
      </c>
      <c r="T39" s="177">
        <f>S39-Q39</f>
        <v>0</v>
      </c>
      <c r="U39" s="19">
        <f>S39/Q39-1</f>
        <v>0</v>
      </c>
      <c r="Y39" s="134">
        <v>10000</v>
      </c>
      <c r="AA39" s="143">
        <v>12000</v>
      </c>
      <c r="AB39" s="216">
        <f>AA39-Y39</f>
        <v>2000</v>
      </c>
      <c r="AC39" s="219">
        <f t="shared" ref="AC39" si="52">AA39-Y39</f>
        <v>2000</v>
      </c>
      <c r="AD39" s="219"/>
      <c r="AE39" s="143">
        <v>12000</v>
      </c>
      <c r="AF39" s="213"/>
      <c r="AH39" s="18">
        <v>0</v>
      </c>
      <c r="AI39" s="20">
        <f t="shared" si="48"/>
        <v>0</v>
      </c>
      <c r="AK39" s="134">
        <v>12000</v>
      </c>
      <c r="AS39" s="18">
        <f t="shared" ref="AS39" si="53">AR39+AK39</f>
        <v>12000</v>
      </c>
      <c r="AV39" s="18">
        <f>AS39+AU39</f>
        <v>12000</v>
      </c>
      <c r="AX39" s="18"/>
      <c r="AY39" s="18">
        <f>AV39+AX39</f>
        <v>12000</v>
      </c>
      <c r="BB39" s="18">
        <f>AY39+BA39</f>
        <v>12000</v>
      </c>
      <c r="BD39" s="18">
        <v>-6000</v>
      </c>
      <c r="BE39" s="18">
        <f>BB39+BD39</f>
        <v>6000</v>
      </c>
      <c r="BG39" s="18"/>
      <c r="BH39" s="18">
        <f>BE39+BG39</f>
        <v>6000</v>
      </c>
      <c r="BJ39" s="18">
        <v>0</v>
      </c>
      <c r="BK39" s="279">
        <f t="shared" ref="BK39" si="54">BJ39/BH39</f>
        <v>0</v>
      </c>
      <c r="BM39" s="289">
        <v>0</v>
      </c>
      <c r="BN39" s="279" t="e">
        <f t="shared" ref="BN39" si="55">BM39/BJ39</f>
        <v>#DIV/0!</v>
      </c>
      <c r="BO39" s="279">
        <f t="shared" ref="BO39" si="56">BM39/BH39</f>
        <v>0</v>
      </c>
      <c r="BQ39" s="289"/>
      <c r="BR39" s="18">
        <f>BM39+BQ39</f>
        <v>0</v>
      </c>
      <c r="BT39" s="289"/>
      <c r="BU39" s="18">
        <f>BR39+BT39</f>
        <v>0</v>
      </c>
      <c r="BW39" s="289"/>
      <c r="BX39" s="18">
        <f>BU39+BW39</f>
        <v>0</v>
      </c>
      <c r="BZ39" s="289"/>
      <c r="CA39" s="18">
        <f>BX39+BZ39</f>
        <v>0</v>
      </c>
      <c r="CC39" s="289"/>
      <c r="CD39" s="18">
        <f>CA39+CC39</f>
        <v>0</v>
      </c>
      <c r="CF39" s="289"/>
      <c r="CG39" s="18">
        <f>CD39+CF39</f>
        <v>0</v>
      </c>
      <c r="CI39" s="289"/>
      <c r="CJ39" s="18">
        <f>CG39+CI39</f>
        <v>0</v>
      </c>
      <c r="CM39" s="18">
        <f>CJ39+CL39</f>
        <v>0</v>
      </c>
      <c r="CP39" s="18">
        <f>CM39+CO39</f>
        <v>0</v>
      </c>
      <c r="CS39" s="18">
        <f>CP39+CR39</f>
        <v>0</v>
      </c>
      <c r="CV39" s="18">
        <f>CS39+CU39</f>
        <v>0</v>
      </c>
      <c r="CY39" s="18">
        <f>CV39+CX39</f>
        <v>0</v>
      </c>
    </row>
    <row r="40" spans="1:107" outlineLevel="1">
      <c r="A40" s="14" t="s">
        <v>62</v>
      </c>
      <c r="B40" s="4" t="s">
        <v>46</v>
      </c>
      <c r="C40" s="4" t="s">
        <v>138</v>
      </c>
      <c r="D40" s="52">
        <v>60000</v>
      </c>
      <c r="E40" s="37">
        <v>16</v>
      </c>
      <c r="F40" s="52">
        <v>9600</v>
      </c>
      <c r="G40" s="37">
        <v>100</v>
      </c>
      <c r="H40" s="56">
        <v>9600</v>
      </c>
      <c r="I40" s="40"/>
      <c r="J40" s="17"/>
      <c r="Y40" s="134"/>
      <c r="AF40" s="213"/>
      <c r="AH40" s="18"/>
      <c r="AX40" s="18"/>
      <c r="BD40" s="18"/>
      <c r="BG40" s="18"/>
    </row>
    <row r="41" spans="1:107" outlineLevel="1">
      <c r="A41" s="14" t="s">
        <v>139</v>
      </c>
      <c r="B41" s="14" t="s">
        <v>136</v>
      </c>
      <c r="C41" s="4" t="s">
        <v>137</v>
      </c>
      <c r="D41" s="52">
        <v>152700</v>
      </c>
      <c r="E41" s="37">
        <v>0</v>
      </c>
      <c r="F41" s="52">
        <v>152700</v>
      </c>
      <c r="G41" s="37">
        <v>0</v>
      </c>
      <c r="H41" s="56">
        <v>0</v>
      </c>
      <c r="I41" s="40">
        <v>0</v>
      </c>
      <c r="J41" s="17"/>
      <c r="L41" s="134">
        <v>0</v>
      </c>
      <c r="Y41" s="134"/>
      <c r="AF41" s="213"/>
      <c r="AH41" s="18"/>
      <c r="AX41" s="18"/>
      <c r="BD41" s="18"/>
      <c r="BG41" s="18"/>
    </row>
    <row r="42" spans="1:107" outlineLevel="1">
      <c r="A42" s="14" t="s">
        <v>139</v>
      </c>
      <c r="B42" s="4" t="s">
        <v>46</v>
      </c>
      <c r="C42" s="4" t="s">
        <v>140</v>
      </c>
      <c r="D42" s="52">
        <v>152700</v>
      </c>
      <c r="E42" s="37">
        <v>0</v>
      </c>
      <c r="F42" s="52">
        <v>152700</v>
      </c>
      <c r="G42" s="37">
        <v>0</v>
      </c>
      <c r="H42" s="56">
        <v>0</v>
      </c>
      <c r="I42" s="40"/>
      <c r="J42" s="17"/>
      <c r="Y42" s="134"/>
      <c r="AF42" s="213"/>
      <c r="AH42" s="18"/>
      <c r="AX42" s="18"/>
      <c r="BD42" s="18"/>
      <c r="BG42" s="18"/>
    </row>
    <row r="43" spans="1:107" outlineLevel="1">
      <c r="A43" s="265" t="s">
        <v>490</v>
      </c>
      <c r="B43" s="4" t="s">
        <v>491</v>
      </c>
      <c r="C43" s="4" t="s">
        <v>492</v>
      </c>
      <c r="D43" s="52"/>
      <c r="E43" s="37"/>
      <c r="F43" s="52"/>
      <c r="G43" s="37"/>
      <c r="H43" s="56"/>
      <c r="I43" s="40"/>
      <c r="J43" s="17"/>
      <c r="Y43" s="134"/>
      <c r="AF43" s="213"/>
      <c r="AH43" s="18"/>
      <c r="AX43" s="18"/>
      <c r="BA43" s="269">
        <v>4000</v>
      </c>
      <c r="BB43" s="18">
        <v>0</v>
      </c>
      <c r="BD43" s="18">
        <v>4000</v>
      </c>
      <c r="BE43" s="18">
        <f>BB43+BD43</f>
        <v>4000</v>
      </c>
      <c r="BG43" s="18"/>
      <c r="BH43" s="18">
        <f>BE43+BG43</f>
        <v>4000</v>
      </c>
      <c r="BJ43" s="18">
        <v>4000</v>
      </c>
      <c r="BK43" s="279">
        <f t="shared" ref="BK43" si="57">BJ43/BH43</f>
        <v>1</v>
      </c>
      <c r="BM43" s="348">
        <v>4000</v>
      </c>
      <c r="BN43" s="279">
        <f t="shared" ref="BN43" si="58">BM43/BJ43</f>
        <v>1</v>
      </c>
      <c r="BO43" s="279">
        <f t="shared" ref="BO43" si="59">BM43/BH43</f>
        <v>1</v>
      </c>
      <c r="BQ43" s="289"/>
      <c r="BR43" s="18">
        <f>BM43+BQ43</f>
        <v>4000</v>
      </c>
      <c r="BT43" s="289"/>
      <c r="BU43" s="18">
        <f>BR43+BT43</f>
        <v>4000</v>
      </c>
      <c r="BW43" s="289"/>
      <c r="BX43" s="18">
        <f>BU43+BW43</f>
        <v>4000</v>
      </c>
      <c r="BZ43" s="289"/>
      <c r="CA43" s="18">
        <f>BX43+BZ43</f>
        <v>4000</v>
      </c>
      <c r="CC43" s="289"/>
      <c r="CD43" s="18">
        <f>CA43+CC43</f>
        <v>4000</v>
      </c>
      <c r="CF43" s="289"/>
      <c r="CG43" s="18">
        <f>CD43+CF43</f>
        <v>4000</v>
      </c>
      <c r="CI43" s="289"/>
      <c r="CJ43" s="18">
        <f>CG43+CI43</f>
        <v>4000</v>
      </c>
      <c r="CM43" s="18">
        <f>CJ43+CL43</f>
        <v>4000</v>
      </c>
      <c r="CP43" s="18">
        <f>CM43+CO43</f>
        <v>4000</v>
      </c>
      <c r="CS43" s="18">
        <f>CP43+CR43</f>
        <v>4000</v>
      </c>
      <c r="CV43" s="18">
        <f>CS43+CU43</f>
        <v>4000</v>
      </c>
      <c r="CY43" s="18">
        <f>CV43+CX43</f>
        <v>4000</v>
      </c>
      <c r="DA43" s="289">
        <v>4000</v>
      </c>
      <c r="DC43" s="289">
        <v>4000</v>
      </c>
    </row>
    <row r="44" spans="1:107" outlineLevel="1">
      <c r="A44" s="265" t="s">
        <v>490</v>
      </c>
      <c r="B44" s="4" t="s">
        <v>46</v>
      </c>
      <c r="C44" s="4" t="s">
        <v>493</v>
      </c>
      <c r="D44" s="52"/>
      <c r="E44" s="37"/>
      <c r="F44" s="52"/>
      <c r="G44" s="37"/>
      <c r="H44" s="56"/>
      <c r="I44" s="40"/>
      <c r="J44" s="17"/>
      <c r="Y44" s="134"/>
      <c r="AF44" s="213"/>
      <c r="AH44" s="18"/>
      <c r="AX44" s="18"/>
      <c r="BD44" s="18"/>
      <c r="BG44" s="18"/>
    </row>
    <row r="45" spans="1:107" outlineLevel="1">
      <c r="A45" s="14" t="s">
        <v>141</v>
      </c>
      <c r="B45" s="4" t="s">
        <v>48</v>
      </c>
      <c r="C45" s="4" t="s">
        <v>142</v>
      </c>
      <c r="D45" s="52">
        <v>212700</v>
      </c>
      <c r="E45" s="37">
        <v>4.51</v>
      </c>
      <c r="F45" s="52">
        <v>162300</v>
      </c>
      <c r="G45" s="37">
        <v>5.91</v>
      </c>
      <c r="H45" s="56">
        <v>9600</v>
      </c>
      <c r="I45" s="40"/>
      <c r="J45" s="17"/>
      <c r="Y45" s="134"/>
      <c r="AF45" s="213"/>
      <c r="AH45" s="18"/>
      <c r="AX45" s="18"/>
      <c r="BD45" s="18"/>
      <c r="BG45" s="18"/>
    </row>
    <row r="46" spans="1:107" ht="15.75" thickBot="1">
      <c r="A46" s="70" t="s">
        <v>141</v>
      </c>
      <c r="B46" s="71" t="s">
        <v>320</v>
      </c>
      <c r="C46" s="72" t="s">
        <v>142</v>
      </c>
      <c r="D46" s="73">
        <f>D39+D41</f>
        <v>212700</v>
      </c>
      <c r="E46" s="74"/>
      <c r="F46" s="73">
        <f>F39+F41</f>
        <v>162300</v>
      </c>
      <c r="G46" s="74"/>
      <c r="H46" s="73"/>
      <c r="I46" s="73">
        <f>I39+I41</f>
        <v>9600</v>
      </c>
      <c r="J46" s="156" t="e">
        <f>I46/$I$304</f>
        <v>#REF!</v>
      </c>
      <c r="K46" s="76"/>
      <c r="L46" s="138">
        <f>L39+L41</f>
        <v>10000</v>
      </c>
      <c r="M46" s="77">
        <f>L46/F46-1</f>
        <v>-0.93838570548367217</v>
      </c>
      <c r="N46" s="77">
        <f>L46/I46-1</f>
        <v>4.1666666666666741E-2</v>
      </c>
      <c r="O46" s="20">
        <f>L46/$L$304</f>
        <v>2.3201856579152789E-3</v>
      </c>
      <c r="P46" s="20"/>
      <c r="Q46" s="138">
        <f>Q39</f>
        <v>10000</v>
      </c>
      <c r="R46" s="138">
        <f>R39</f>
        <v>0</v>
      </c>
      <c r="S46" s="138">
        <f>S39</f>
        <v>10000</v>
      </c>
      <c r="T46" s="138">
        <f>T39</f>
        <v>0</v>
      </c>
      <c r="U46" s="175">
        <f>S46/Q46-1</f>
        <v>0</v>
      </c>
      <c r="Y46" s="138">
        <f>Y39</f>
        <v>10000</v>
      </c>
      <c r="AA46" s="138">
        <f>AA39</f>
        <v>12000</v>
      </c>
      <c r="AB46" s="138">
        <f>AB39</f>
        <v>2000</v>
      </c>
      <c r="AE46" s="138">
        <f>AE39</f>
        <v>12000</v>
      </c>
      <c r="AF46" s="213"/>
      <c r="AH46" s="138">
        <f>AH39</f>
        <v>0</v>
      </c>
      <c r="AI46" s="20">
        <f t="shared" ref="AI46:AI47" si="60">AH46/AE46</f>
        <v>0</v>
      </c>
      <c r="AK46" s="138">
        <f>AK39</f>
        <v>12000</v>
      </c>
      <c r="AL46" s="229">
        <f>AK46/L46</f>
        <v>1.2</v>
      </c>
      <c r="AM46" s="20">
        <f>AK46/AE46</f>
        <v>1</v>
      </c>
      <c r="AN46" s="20" t="e">
        <f>AK46/AH46</f>
        <v>#DIV/0!</v>
      </c>
      <c r="AS46" s="138">
        <f>AS39</f>
        <v>12000</v>
      </c>
      <c r="AU46" s="138">
        <f>AU39</f>
        <v>0</v>
      </c>
      <c r="AV46" s="138">
        <f>AV39</f>
        <v>12000</v>
      </c>
      <c r="AX46" s="138">
        <f>AX39</f>
        <v>0</v>
      </c>
      <c r="AY46" s="138">
        <f>AY39</f>
        <v>12000</v>
      </c>
      <c r="BA46" s="138">
        <f>BA39+BA43</f>
        <v>4000</v>
      </c>
      <c r="BB46" s="138">
        <f>BB39+BB43</f>
        <v>12000</v>
      </c>
      <c r="BD46" s="138">
        <f>BD39+BD43</f>
        <v>-2000</v>
      </c>
      <c r="BE46" s="138">
        <f>BE39+BE43</f>
        <v>10000</v>
      </c>
      <c r="BG46" s="138">
        <f>BG39+BG43</f>
        <v>0</v>
      </c>
      <c r="BH46" s="138">
        <f>BH39+BH43</f>
        <v>10000</v>
      </c>
      <c r="BJ46" s="138">
        <f>BJ39+BJ43</f>
        <v>4000</v>
      </c>
      <c r="BK46" s="280">
        <f t="shared" ref="BK46" si="61">BJ46/BH46</f>
        <v>0.4</v>
      </c>
      <c r="BM46" s="138">
        <f>BM39+BM43</f>
        <v>4000</v>
      </c>
      <c r="BN46" s="280">
        <f t="shared" ref="BN46" si="62">BM46/BJ46</f>
        <v>1</v>
      </c>
      <c r="BO46" s="280">
        <f t="shared" ref="BO46" si="63">BM46/BH46</f>
        <v>0.4</v>
      </c>
      <c r="BQ46" s="138">
        <f>BQ39+BQ43</f>
        <v>0</v>
      </c>
      <c r="BR46" s="138">
        <f>BR39+BR43</f>
        <v>4000</v>
      </c>
      <c r="BT46" s="138">
        <f>BT39+BT43</f>
        <v>0</v>
      </c>
      <c r="BU46" s="138">
        <f>BU39+BU43</f>
        <v>4000</v>
      </c>
      <c r="BW46" s="138">
        <f>BW39+BW43</f>
        <v>0</v>
      </c>
      <c r="BX46" s="138">
        <f>BX39+BX43</f>
        <v>4000</v>
      </c>
      <c r="BZ46" s="138">
        <f>BZ39+BZ43</f>
        <v>0</v>
      </c>
      <c r="CA46" s="138">
        <f>CA39+CA43</f>
        <v>4000</v>
      </c>
      <c r="CC46" s="138">
        <f>CC39+CC43</f>
        <v>0</v>
      </c>
      <c r="CD46" s="138">
        <f>CD39+CD43</f>
        <v>4000</v>
      </c>
      <c r="CF46" s="138">
        <f>CF39+CF43</f>
        <v>0</v>
      </c>
      <c r="CG46" s="138">
        <f>CG39+CG43</f>
        <v>4000</v>
      </c>
      <c r="CI46" s="138">
        <f>CI39+CI43</f>
        <v>0</v>
      </c>
      <c r="CJ46" s="138">
        <f>CJ39+CJ43</f>
        <v>4000</v>
      </c>
      <c r="CL46" s="391">
        <f>CL39+CL43</f>
        <v>0</v>
      </c>
      <c r="CM46" s="138">
        <f>CM39+CM43</f>
        <v>4000</v>
      </c>
      <c r="CO46" s="138">
        <f>CO39+CO43</f>
        <v>0</v>
      </c>
      <c r="CP46" s="138">
        <f>CP39+CP43</f>
        <v>4000</v>
      </c>
      <c r="CR46" s="138">
        <f>CR39+CR43</f>
        <v>0</v>
      </c>
      <c r="CS46" s="138">
        <f>CS39+CS43</f>
        <v>4000</v>
      </c>
      <c r="CU46" s="138">
        <f>CU39+CU43</f>
        <v>0</v>
      </c>
      <c r="CV46" s="138">
        <f>CV39+CV43</f>
        <v>4000</v>
      </c>
      <c r="CX46" s="138">
        <f>CX39+CX43</f>
        <v>0</v>
      </c>
      <c r="CY46" s="138">
        <f>CY39+CY43</f>
        <v>4000</v>
      </c>
      <c r="DA46" s="138">
        <f>DA39+DA43</f>
        <v>4000</v>
      </c>
      <c r="DC46" s="138">
        <f>DC39+DC43</f>
        <v>4000</v>
      </c>
    </row>
    <row r="47" spans="1:107" ht="15.75" outlineLevel="1" thickTop="1">
      <c r="A47" s="14" t="s">
        <v>143</v>
      </c>
      <c r="B47" s="14" t="s">
        <v>144</v>
      </c>
      <c r="C47" s="4" t="s">
        <v>145</v>
      </c>
      <c r="D47" s="52">
        <v>2000</v>
      </c>
      <c r="E47" s="37">
        <v>100</v>
      </c>
      <c r="F47" s="52">
        <v>2000</v>
      </c>
      <c r="G47" s="37">
        <v>100</v>
      </c>
      <c r="H47" s="56">
        <v>2000</v>
      </c>
      <c r="I47" s="61">
        <v>2000</v>
      </c>
      <c r="K47" t="s">
        <v>336</v>
      </c>
      <c r="L47" s="134">
        <v>2000</v>
      </c>
      <c r="M47" s="20">
        <f t="shared" ref="M47:M54" si="64">L47/F47-1</f>
        <v>0</v>
      </c>
      <c r="N47" s="20">
        <f t="shared" ref="N47:N54" si="65">L47/I47-1</f>
        <v>0</v>
      </c>
      <c r="Q47" s="134">
        <v>2140</v>
      </c>
      <c r="R47" s="18">
        <v>2140</v>
      </c>
      <c r="S47" s="134">
        <v>2140</v>
      </c>
      <c r="T47" s="177">
        <f>S47-Q47</f>
        <v>0</v>
      </c>
      <c r="U47" s="19">
        <f>S47/Q47-1</f>
        <v>0</v>
      </c>
      <c r="V47" s="159">
        <v>2140</v>
      </c>
      <c r="W47">
        <v>140</v>
      </c>
      <c r="Y47" s="134">
        <v>2140</v>
      </c>
      <c r="AA47" s="134">
        <v>2140</v>
      </c>
      <c r="AB47" s="216">
        <f>AA47-Y47</f>
        <v>0</v>
      </c>
      <c r="AC47" s="219">
        <f t="shared" ref="AC47" si="66">AA47-Y47</f>
        <v>0</v>
      </c>
      <c r="AD47" s="219"/>
      <c r="AE47" s="134">
        <v>2140</v>
      </c>
      <c r="AF47" s="213"/>
      <c r="AH47" s="18">
        <v>2140</v>
      </c>
      <c r="AI47" s="20">
        <f t="shared" si="60"/>
        <v>1</v>
      </c>
      <c r="AK47" s="134">
        <v>2500</v>
      </c>
      <c r="AS47" s="18">
        <f t="shared" ref="AS47" si="67">AR47+AK47</f>
        <v>2500</v>
      </c>
      <c r="AV47" s="18">
        <f>AS47+AU47</f>
        <v>2500</v>
      </c>
      <c r="AX47" s="18"/>
      <c r="AY47" s="18">
        <f>AV47+AX47</f>
        <v>2500</v>
      </c>
      <c r="BB47" s="18">
        <f>AY47+BA47</f>
        <v>2500</v>
      </c>
      <c r="BD47" s="18">
        <v>-300</v>
      </c>
      <c r="BE47" s="18">
        <f>BB47+BD47</f>
        <v>2200</v>
      </c>
      <c r="BG47" s="18"/>
      <c r="BH47" s="18">
        <f>BE47+BG47</f>
        <v>2200</v>
      </c>
      <c r="BJ47" s="18">
        <v>2140</v>
      </c>
      <c r="BK47" s="279">
        <f t="shared" ref="BK47" si="68">BJ47/BH47</f>
        <v>0.97272727272727277</v>
      </c>
      <c r="BM47" s="289">
        <v>2200</v>
      </c>
      <c r="BN47" s="279">
        <f t="shared" ref="BN47" si="69">BM47/BJ47</f>
        <v>1.02803738317757</v>
      </c>
      <c r="BO47" s="279">
        <f t="shared" ref="BO47" si="70">BM47/BH47</f>
        <v>1</v>
      </c>
      <c r="BQ47" s="289"/>
      <c r="BR47" s="18">
        <f>BM47+BQ47</f>
        <v>2200</v>
      </c>
      <c r="BT47" s="289"/>
      <c r="BU47" s="18">
        <f>BR47+BT47</f>
        <v>2200</v>
      </c>
      <c r="BW47" s="289"/>
      <c r="BX47" s="18">
        <f>BU47+BW47</f>
        <v>2200</v>
      </c>
      <c r="BZ47" s="289"/>
      <c r="CA47" s="18">
        <f>BX47+BZ47</f>
        <v>2200</v>
      </c>
      <c r="CC47" s="289"/>
      <c r="CD47" s="18">
        <f>CA47+CC47</f>
        <v>2200</v>
      </c>
      <c r="CF47" s="289"/>
      <c r="CG47" s="18">
        <f>CD47+CF47</f>
        <v>2200</v>
      </c>
      <c r="CI47" s="289"/>
      <c r="CJ47" s="18">
        <f>CG47+CI47</f>
        <v>2200</v>
      </c>
      <c r="CM47" s="18">
        <f>CJ47+CL47</f>
        <v>2200</v>
      </c>
      <c r="CP47" s="18">
        <f>CM47+CO47</f>
        <v>2200</v>
      </c>
      <c r="CS47" s="18">
        <f>CP47+CR47</f>
        <v>2200</v>
      </c>
      <c r="CU47" s="349">
        <v>-2200</v>
      </c>
      <c r="CV47" s="18">
        <f>CS47+CU47</f>
        <v>0</v>
      </c>
      <c r="CX47" s="349"/>
      <c r="CY47" s="18">
        <f>CV47+CX47</f>
        <v>0</v>
      </c>
      <c r="DA47" s="289">
        <v>0</v>
      </c>
      <c r="DC47" s="289">
        <v>5000</v>
      </c>
    </row>
    <row r="48" spans="1:107" outlineLevel="1">
      <c r="A48" s="14" t="s">
        <v>143</v>
      </c>
      <c r="B48" s="14" t="s">
        <v>146</v>
      </c>
      <c r="C48" s="4" t="s">
        <v>147</v>
      </c>
      <c r="D48" s="52">
        <v>0</v>
      </c>
      <c r="E48" s="37">
        <v>0</v>
      </c>
      <c r="F48" s="52">
        <v>11836</v>
      </c>
      <c r="G48" s="37">
        <v>100</v>
      </c>
      <c r="H48" s="56">
        <v>11836</v>
      </c>
      <c r="I48" s="40">
        <v>11836</v>
      </c>
      <c r="J48" s="17"/>
      <c r="L48" s="143">
        <v>0</v>
      </c>
      <c r="M48" s="20">
        <f t="shared" si="64"/>
        <v>-1</v>
      </c>
      <c r="N48" s="20">
        <f t="shared" si="65"/>
        <v>-1</v>
      </c>
      <c r="Y48" s="134"/>
      <c r="AF48" s="213"/>
      <c r="AH48" s="18"/>
      <c r="AX48" s="18"/>
      <c r="BD48" s="18"/>
      <c r="BG48" s="18"/>
      <c r="CO48" s="327"/>
    </row>
    <row r="49" spans="1:107" outlineLevel="1">
      <c r="A49" s="14" t="s">
        <v>143</v>
      </c>
      <c r="B49" s="14" t="s">
        <v>115</v>
      </c>
      <c r="C49" s="4" t="s">
        <v>116</v>
      </c>
      <c r="D49" s="52">
        <v>0</v>
      </c>
      <c r="E49" s="37">
        <v>0</v>
      </c>
      <c r="F49" s="52">
        <v>0</v>
      </c>
      <c r="G49" s="37">
        <v>0</v>
      </c>
      <c r="H49" s="56">
        <v>3100</v>
      </c>
      <c r="I49" s="40">
        <v>3100</v>
      </c>
      <c r="J49" s="17"/>
      <c r="L49" s="143">
        <v>0</v>
      </c>
      <c r="M49" s="20" t="e">
        <f t="shared" si="64"/>
        <v>#DIV/0!</v>
      </c>
      <c r="N49" s="20">
        <f t="shared" si="65"/>
        <v>-1</v>
      </c>
      <c r="Y49" s="134"/>
      <c r="AF49" s="213"/>
      <c r="AH49" s="18"/>
      <c r="AX49" s="18"/>
      <c r="BD49" s="18"/>
      <c r="BG49" s="18"/>
      <c r="CO49" s="327"/>
      <c r="CR49" s="327"/>
      <c r="CU49" s="327"/>
      <c r="CX49" s="327"/>
      <c r="DA49" s="327"/>
      <c r="DC49" s="327"/>
    </row>
    <row r="50" spans="1:107" outlineLevel="1">
      <c r="A50" s="14" t="s">
        <v>143</v>
      </c>
      <c r="B50" s="14" t="s">
        <v>148</v>
      </c>
      <c r="C50" s="4" t="s">
        <v>149</v>
      </c>
      <c r="D50" s="52">
        <v>22000</v>
      </c>
      <c r="E50" s="37">
        <v>75.47</v>
      </c>
      <c r="F50" s="52">
        <v>22000</v>
      </c>
      <c r="G50" s="37">
        <v>75.47</v>
      </c>
      <c r="H50" s="56">
        <v>16603</v>
      </c>
      <c r="I50" s="40">
        <v>21000</v>
      </c>
      <c r="J50" s="17"/>
      <c r="L50" s="134">
        <v>20000</v>
      </c>
      <c r="M50" s="20">
        <f t="shared" si="64"/>
        <v>-9.0909090909090939E-2</v>
      </c>
      <c r="N50" s="20">
        <f t="shared" si="65"/>
        <v>-4.7619047619047672E-2</v>
      </c>
      <c r="Q50" s="134">
        <v>19860</v>
      </c>
      <c r="R50" s="18">
        <v>0</v>
      </c>
      <c r="S50" s="134">
        <v>2800</v>
      </c>
      <c r="T50" s="177">
        <f>S50-Q50</f>
        <v>-17060</v>
      </c>
      <c r="U50" s="19">
        <f>S50/Q50-1</f>
        <v>-0.85901309164149042</v>
      </c>
      <c r="V50" s="159">
        <v>19860</v>
      </c>
      <c r="W50">
        <v>-140</v>
      </c>
      <c r="Y50" s="134">
        <v>2800</v>
      </c>
      <c r="AA50" s="134">
        <v>0</v>
      </c>
      <c r="AB50" s="216">
        <f>AA50-Y50</f>
        <v>-2800</v>
      </c>
      <c r="AC50" s="219">
        <f t="shared" ref="AC50:AC54" si="71">AA50-Y50</f>
        <v>-2800</v>
      </c>
      <c r="AD50" s="219"/>
      <c r="AE50" s="134">
        <v>0</v>
      </c>
      <c r="AF50" s="213"/>
      <c r="AH50" s="18">
        <v>0</v>
      </c>
      <c r="AK50" s="134">
        <v>1000</v>
      </c>
      <c r="AP50" s="260">
        <v>1000</v>
      </c>
      <c r="AS50" s="18">
        <f>AR50+AK50</f>
        <v>1000</v>
      </c>
      <c r="AV50" s="18">
        <f t="shared" ref="AV50:AV54" si="72">AS50+AU50</f>
        <v>1000</v>
      </c>
      <c r="AX50" s="18"/>
      <c r="AY50" s="18">
        <f t="shared" ref="AY50:AY54" si="73">AV50+AX50</f>
        <v>1000</v>
      </c>
      <c r="BB50" s="18">
        <f t="shared" ref="BB50:BB54" si="74">AY50+BA50</f>
        <v>1000</v>
      </c>
      <c r="BD50" s="18">
        <v>1000</v>
      </c>
      <c r="BE50" s="18">
        <f t="shared" ref="BE50:BE54" si="75">BB50+BD50</f>
        <v>2000</v>
      </c>
      <c r="BG50" s="18"/>
      <c r="BH50" s="18">
        <f t="shared" ref="BH50:BH54" si="76">BE50+BG50</f>
        <v>2000</v>
      </c>
      <c r="BJ50" s="18">
        <v>928</v>
      </c>
      <c r="BK50" s="279">
        <f t="shared" ref="BK50:BK54" si="77">BJ50/BH50</f>
        <v>0.46400000000000002</v>
      </c>
      <c r="BM50" s="289">
        <v>1000</v>
      </c>
      <c r="BN50" s="279">
        <f t="shared" ref="BN50:BN54" si="78">BM50/BJ50</f>
        <v>1.0775862068965518</v>
      </c>
      <c r="BO50" s="279">
        <f t="shared" ref="BO50:BO54" si="79">BM50/BH50</f>
        <v>0.5</v>
      </c>
      <c r="BQ50" s="289"/>
      <c r="BR50" s="18">
        <f>BM50+BQ50</f>
        <v>1000</v>
      </c>
      <c r="BT50" s="289"/>
      <c r="BU50" s="18">
        <f>BR50+BT50</f>
        <v>1000</v>
      </c>
      <c r="BW50" s="289"/>
      <c r="BX50" s="18">
        <f>BU50+BW50</f>
        <v>1000</v>
      </c>
      <c r="BZ50" s="289"/>
      <c r="CA50" s="18">
        <f>BX50+BZ50</f>
        <v>1000</v>
      </c>
      <c r="CC50" s="289"/>
      <c r="CD50" s="18">
        <f>CA50+CC50</f>
        <v>1000</v>
      </c>
      <c r="CF50" s="289"/>
      <c r="CG50" s="18">
        <f>CD50+CF50</f>
        <v>1000</v>
      </c>
      <c r="CI50" s="289"/>
      <c r="CJ50" s="18">
        <f>CG50+CI50</f>
        <v>1000</v>
      </c>
      <c r="CM50" s="18">
        <f>CJ50+CL50</f>
        <v>1000</v>
      </c>
      <c r="CO50" s="327">
        <v>500</v>
      </c>
      <c r="CP50" s="18">
        <f t="shared" ref="CP50:CP55" si="80">CM50+CO50</f>
        <v>1500</v>
      </c>
      <c r="CR50" s="327"/>
      <c r="CS50" s="18">
        <f t="shared" ref="CS50:CS55" si="81">CP50+CR50</f>
        <v>1500</v>
      </c>
      <c r="CU50" s="349">
        <v>-1500</v>
      </c>
      <c r="CV50" s="18">
        <f t="shared" ref="CV50:CV55" si="82">CS50+CU50</f>
        <v>0</v>
      </c>
      <c r="CX50" s="349"/>
      <c r="CY50" s="18">
        <f t="shared" ref="CY50:CY55" si="83">CV50+CX50</f>
        <v>0</v>
      </c>
      <c r="DA50" s="327">
        <v>0</v>
      </c>
      <c r="DC50" s="327"/>
    </row>
    <row r="51" spans="1:107" outlineLevel="1">
      <c r="A51" s="14" t="s">
        <v>143</v>
      </c>
      <c r="B51" s="14" t="s">
        <v>117</v>
      </c>
      <c r="C51" s="4" t="s">
        <v>118</v>
      </c>
      <c r="D51" s="52">
        <v>20000</v>
      </c>
      <c r="E51" s="37">
        <v>153.63999999999999</v>
      </c>
      <c r="F51" s="52">
        <v>35000</v>
      </c>
      <c r="G51" s="37">
        <v>87.79</v>
      </c>
      <c r="H51" s="56">
        <v>30728</v>
      </c>
      <c r="I51" s="40">
        <v>31000</v>
      </c>
      <c r="J51" s="17"/>
      <c r="L51" s="134">
        <f>'[1]2020'!$Q$65</f>
        <v>30000</v>
      </c>
      <c r="M51" s="20">
        <f t="shared" si="64"/>
        <v>-0.1428571428571429</v>
      </c>
      <c r="N51" s="20">
        <f t="shared" si="65"/>
        <v>-3.2258064516129004E-2</v>
      </c>
      <c r="Q51" s="134">
        <v>30000</v>
      </c>
      <c r="R51" s="18">
        <v>0</v>
      </c>
      <c r="S51" s="143">
        <v>0</v>
      </c>
      <c r="T51" s="177">
        <f>S51-Q51</f>
        <v>-30000</v>
      </c>
      <c r="U51" s="19">
        <f>S51/Q51-1</f>
        <v>-1</v>
      </c>
      <c r="Y51" s="143">
        <v>0</v>
      </c>
      <c r="AA51" s="134">
        <v>0</v>
      </c>
      <c r="AB51" s="216">
        <f>AA51-Y51</f>
        <v>0</v>
      </c>
      <c r="AC51" s="219">
        <f t="shared" si="71"/>
        <v>0</v>
      </c>
      <c r="AD51" s="219"/>
      <c r="AE51" s="134">
        <v>0</v>
      </c>
      <c r="AF51" s="213"/>
      <c r="AH51" s="18">
        <v>0</v>
      </c>
      <c r="AK51" s="134">
        <v>500</v>
      </c>
      <c r="AP51" s="260">
        <v>500</v>
      </c>
      <c r="AS51" s="18">
        <f>AR51+AK51</f>
        <v>500</v>
      </c>
      <c r="AV51" s="18">
        <f t="shared" si="72"/>
        <v>500</v>
      </c>
      <c r="AX51" s="18"/>
      <c r="AY51" s="18">
        <f t="shared" si="73"/>
        <v>500</v>
      </c>
      <c r="BB51" s="18">
        <f t="shared" si="74"/>
        <v>500</v>
      </c>
      <c r="BD51" s="18"/>
      <c r="BE51" s="18">
        <f t="shared" si="75"/>
        <v>500</v>
      </c>
      <c r="BG51" s="18"/>
      <c r="BH51" s="18">
        <f t="shared" si="76"/>
        <v>500</v>
      </c>
      <c r="BJ51" s="18">
        <v>450</v>
      </c>
      <c r="BK51" s="279">
        <f t="shared" si="77"/>
        <v>0.9</v>
      </c>
      <c r="BM51" s="289">
        <v>0</v>
      </c>
      <c r="BN51" s="279">
        <f t="shared" si="78"/>
        <v>0</v>
      </c>
      <c r="BO51" s="279">
        <f t="shared" si="79"/>
        <v>0</v>
      </c>
      <c r="BQ51" s="289"/>
      <c r="BR51" s="18">
        <f>BM51+BQ51</f>
        <v>0</v>
      </c>
      <c r="BT51" s="349">
        <v>8000</v>
      </c>
      <c r="BU51" s="18">
        <f>BR51+BT51</f>
        <v>8000</v>
      </c>
      <c r="BW51" s="289"/>
      <c r="BX51" s="18">
        <f>BU51+BW51</f>
        <v>8000</v>
      </c>
      <c r="BZ51" s="289"/>
      <c r="CA51" s="18">
        <f>BX51+BZ51</f>
        <v>8000</v>
      </c>
      <c r="CC51" s="289"/>
      <c r="CD51" s="18">
        <f>CA51+CC51</f>
        <v>8000</v>
      </c>
      <c r="CF51" s="289"/>
      <c r="CG51" s="18">
        <f>CD51+CF51</f>
        <v>8000</v>
      </c>
      <c r="CI51" s="289"/>
      <c r="CJ51" s="18">
        <f>CG51+CI51</f>
        <v>8000</v>
      </c>
      <c r="CM51" s="18">
        <f>CJ51+CL51</f>
        <v>8000</v>
      </c>
      <c r="CO51" s="327"/>
      <c r="CP51" s="18">
        <f t="shared" si="80"/>
        <v>8000</v>
      </c>
      <c r="CR51" s="327"/>
      <c r="CS51" s="18">
        <f t="shared" si="81"/>
        <v>8000</v>
      </c>
      <c r="CU51" s="327"/>
      <c r="CV51" s="18">
        <f t="shared" si="82"/>
        <v>8000</v>
      </c>
      <c r="CX51" s="327"/>
      <c r="CY51" s="18">
        <f t="shared" si="83"/>
        <v>8000</v>
      </c>
      <c r="DA51" s="327">
        <v>8000</v>
      </c>
      <c r="DC51" s="327">
        <v>10000</v>
      </c>
    </row>
    <row r="52" spans="1:107" outlineLevel="1">
      <c r="A52" s="14" t="s">
        <v>143</v>
      </c>
      <c r="B52" s="14" t="s">
        <v>150</v>
      </c>
      <c r="C52" s="4" t="s">
        <v>151</v>
      </c>
      <c r="D52" s="52">
        <v>20000</v>
      </c>
      <c r="E52" s="37">
        <v>13.99</v>
      </c>
      <c r="F52" s="52">
        <v>20000</v>
      </c>
      <c r="G52" s="37">
        <v>13.99</v>
      </c>
      <c r="H52" s="56">
        <v>2798</v>
      </c>
      <c r="I52" s="40">
        <v>5000</v>
      </c>
      <c r="J52" s="17"/>
      <c r="L52" s="134">
        <v>5000</v>
      </c>
      <c r="M52" s="20">
        <f t="shared" si="64"/>
        <v>-0.75</v>
      </c>
      <c r="N52" s="20">
        <f t="shared" si="65"/>
        <v>0</v>
      </c>
      <c r="Q52" s="134">
        <v>5000</v>
      </c>
      <c r="R52" s="18">
        <v>4612</v>
      </c>
      <c r="S52" s="134">
        <v>7000</v>
      </c>
      <c r="T52" s="177">
        <f>S52-Q52</f>
        <v>2000</v>
      </c>
      <c r="U52" s="19">
        <f>S52/Q52-1</f>
        <v>0.39999999999999991</v>
      </c>
      <c r="Y52" s="134">
        <v>7000</v>
      </c>
      <c r="AA52" s="134">
        <v>5100</v>
      </c>
      <c r="AB52" s="216">
        <f>AA52-Y52</f>
        <v>-1900</v>
      </c>
      <c r="AC52" s="219">
        <f t="shared" si="71"/>
        <v>-1900</v>
      </c>
      <c r="AD52" s="219"/>
      <c r="AE52" s="134">
        <v>5100</v>
      </c>
      <c r="AF52" s="213"/>
      <c r="AH52" s="18">
        <v>4612</v>
      </c>
      <c r="AI52" s="20">
        <f t="shared" ref="AI52:AI54" si="84">AH52/AE52</f>
        <v>0.90431372549019606</v>
      </c>
      <c r="AK52" s="134">
        <v>5000</v>
      </c>
      <c r="AS52" s="18">
        <f t="shared" ref="AS52:AS54" si="85">AR52+AK52</f>
        <v>5000</v>
      </c>
      <c r="AV52" s="18">
        <f t="shared" si="72"/>
        <v>5000</v>
      </c>
      <c r="AX52" s="18"/>
      <c r="AY52" s="18">
        <f t="shared" si="73"/>
        <v>5000</v>
      </c>
      <c r="BA52" s="269">
        <v>-4000</v>
      </c>
      <c r="BB52" s="18">
        <v>5000</v>
      </c>
      <c r="BD52" s="18"/>
      <c r="BE52" s="18">
        <f t="shared" si="75"/>
        <v>5000</v>
      </c>
      <c r="BG52" s="18"/>
      <c r="BH52" s="18">
        <f t="shared" si="76"/>
        <v>5000</v>
      </c>
      <c r="BJ52" s="18">
        <v>3418</v>
      </c>
      <c r="BK52" s="279">
        <f t="shared" si="77"/>
        <v>0.68359999999999999</v>
      </c>
      <c r="BM52" s="289">
        <v>5000</v>
      </c>
      <c r="BN52" s="279">
        <f t="shared" si="78"/>
        <v>1.4628437682855471</v>
      </c>
      <c r="BO52" s="279">
        <f t="shared" si="79"/>
        <v>1</v>
      </c>
      <c r="BQ52" s="289"/>
      <c r="BR52" s="18">
        <f>BM52+BQ52</f>
        <v>5000</v>
      </c>
      <c r="BT52" s="349">
        <v>2000</v>
      </c>
      <c r="BU52" s="18">
        <f>BR52+BT52</f>
        <v>7000</v>
      </c>
      <c r="BW52" s="289"/>
      <c r="BX52" s="18">
        <f>BU52+BW52</f>
        <v>7000</v>
      </c>
      <c r="BZ52" s="289"/>
      <c r="CA52" s="18">
        <f>BX52+BZ52</f>
        <v>7000</v>
      </c>
      <c r="CC52" s="289"/>
      <c r="CD52" s="18">
        <f>CA52+CC52</f>
        <v>7000</v>
      </c>
      <c r="CF52" s="289"/>
      <c r="CG52" s="18">
        <f>CD52+CF52</f>
        <v>7000</v>
      </c>
      <c r="CI52" s="289"/>
      <c r="CJ52" s="18">
        <f>CG52+CI52</f>
        <v>7000</v>
      </c>
      <c r="CL52" s="327">
        <v>5000</v>
      </c>
      <c r="CM52" s="18">
        <f>CJ52+CL52</f>
        <v>12000</v>
      </c>
      <c r="CO52" s="327"/>
      <c r="CP52" s="18">
        <f t="shared" si="80"/>
        <v>12000</v>
      </c>
      <c r="CR52" s="327"/>
      <c r="CS52" s="18">
        <f t="shared" si="81"/>
        <v>12000</v>
      </c>
      <c r="CU52" s="349">
        <v>-2000</v>
      </c>
      <c r="CV52" s="18">
        <f t="shared" si="82"/>
        <v>10000</v>
      </c>
      <c r="CX52" s="349"/>
      <c r="CY52" s="18">
        <f t="shared" si="83"/>
        <v>10000</v>
      </c>
      <c r="DA52" s="327">
        <v>9924</v>
      </c>
      <c r="DC52" s="327">
        <v>10000</v>
      </c>
    </row>
    <row r="53" spans="1:107" outlineLevel="1">
      <c r="A53" s="14" t="s">
        <v>143</v>
      </c>
      <c r="B53" s="14" t="s">
        <v>152</v>
      </c>
      <c r="C53" s="4" t="s">
        <v>153</v>
      </c>
      <c r="D53" s="52">
        <v>2000</v>
      </c>
      <c r="E53" s="37">
        <v>110</v>
      </c>
      <c r="F53" s="52">
        <v>2000</v>
      </c>
      <c r="G53" s="37">
        <v>110</v>
      </c>
      <c r="H53" s="56">
        <v>2200</v>
      </c>
      <c r="I53" s="40">
        <v>2200</v>
      </c>
      <c r="J53" s="17"/>
      <c r="K53" t="s">
        <v>336</v>
      </c>
      <c r="L53" s="137">
        <f>'[1]2020'!$Q$70</f>
        <v>2000</v>
      </c>
      <c r="M53" s="20">
        <f t="shared" si="64"/>
        <v>0</v>
      </c>
      <c r="N53" s="20">
        <f t="shared" si="65"/>
        <v>-9.0909090909090939E-2</v>
      </c>
      <c r="Q53" s="134">
        <v>2000</v>
      </c>
      <c r="R53" s="18">
        <v>1600</v>
      </c>
      <c r="S53" s="134">
        <v>2100</v>
      </c>
      <c r="T53" s="177">
        <f>S53-Q53</f>
        <v>100</v>
      </c>
      <c r="U53" s="19">
        <f>S53/Q53-1</f>
        <v>5.0000000000000044E-2</v>
      </c>
      <c r="Y53" s="134">
        <v>4000</v>
      </c>
      <c r="AA53" s="134">
        <v>4000</v>
      </c>
      <c r="AB53" s="216">
        <f t="shared" ref="AB53:AB54" si="86">AA53-Y53</f>
        <v>0</v>
      </c>
      <c r="AC53" s="219">
        <f t="shared" si="71"/>
        <v>0</v>
      </c>
      <c r="AD53" s="219"/>
      <c r="AE53" s="134">
        <v>4300</v>
      </c>
      <c r="AF53" s="213">
        <f>AE53-AA53</f>
        <v>300</v>
      </c>
      <c r="AH53" s="18">
        <v>4219</v>
      </c>
      <c r="AI53" s="20">
        <f t="shared" si="84"/>
        <v>0.98116279069767443</v>
      </c>
      <c r="AK53" s="134">
        <v>5000</v>
      </c>
      <c r="AS53" s="18">
        <f t="shared" si="85"/>
        <v>5000</v>
      </c>
      <c r="AV53" s="18">
        <f t="shared" si="72"/>
        <v>5000</v>
      </c>
      <c r="AX53" s="18"/>
      <c r="AY53" s="18">
        <f t="shared" si="73"/>
        <v>5000</v>
      </c>
      <c r="BA53" s="269">
        <v>5000</v>
      </c>
      <c r="BB53" s="18">
        <f t="shared" si="74"/>
        <v>10000</v>
      </c>
      <c r="BD53" s="18"/>
      <c r="BE53" s="18">
        <f t="shared" si="75"/>
        <v>10000</v>
      </c>
      <c r="BG53" s="18"/>
      <c r="BH53" s="18">
        <f t="shared" si="76"/>
        <v>10000</v>
      </c>
      <c r="BJ53" s="18">
        <v>9075.43</v>
      </c>
      <c r="BK53" s="279">
        <f t="shared" si="77"/>
        <v>0.90754299999999999</v>
      </c>
      <c r="BM53" s="289">
        <v>10000</v>
      </c>
      <c r="BN53" s="279">
        <f t="shared" si="78"/>
        <v>1.1018761645453714</v>
      </c>
      <c r="BO53" s="279">
        <f t="shared" si="79"/>
        <v>1</v>
      </c>
      <c r="BQ53" s="289"/>
      <c r="BR53" s="18">
        <f>BM53+BQ53</f>
        <v>10000</v>
      </c>
      <c r="BT53" s="289"/>
      <c r="BU53" s="18">
        <f>BR53+BT53</f>
        <v>10000</v>
      </c>
      <c r="BW53" s="289"/>
      <c r="BX53" s="18">
        <f>BU53+BW53</f>
        <v>10000</v>
      </c>
      <c r="BZ53" s="289"/>
      <c r="CA53" s="18">
        <f>BX53+BZ53</f>
        <v>10000</v>
      </c>
      <c r="CC53" s="289"/>
      <c r="CD53" s="18">
        <f>CA53+CC53</f>
        <v>10000</v>
      </c>
      <c r="CF53" s="327">
        <v>1000</v>
      </c>
      <c r="CG53" s="18">
        <f>CD53+CF53</f>
        <v>11000</v>
      </c>
      <c r="CI53" s="327"/>
      <c r="CJ53" s="18">
        <f>CG53+CI53</f>
        <v>11000</v>
      </c>
      <c r="CL53" s="327">
        <v>2000</v>
      </c>
      <c r="CM53" s="18">
        <f>CJ53+CL53</f>
        <v>13000</v>
      </c>
      <c r="CO53" s="327">
        <v>9500</v>
      </c>
      <c r="CP53" s="18">
        <f t="shared" si="80"/>
        <v>22500</v>
      </c>
      <c r="CR53" s="327"/>
      <c r="CS53" s="18">
        <f t="shared" si="81"/>
        <v>22500</v>
      </c>
      <c r="CU53" s="349">
        <v>-3500</v>
      </c>
      <c r="CV53" s="18">
        <f t="shared" si="82"/>
        <v>19000</v>
      </c>
      <c r="CX53" s="349"/>
      <c r="CY53" s="18">
        <f t="shared" si="83"/>
        <v>19000</v>
      </c>
      <c r="DA53" s="327">
        <v>18953.39</v>
      </c>
      <c r="DC53" s="327">
        <v>20000</v>
      </c>
    </row>
    <row r="54" spans="1:107" outlineLevel="1">
      <c r="A54" s="14" t="s">
        <v>143</v>
      </c>
      <c r="B54" s="14" t="s">
        <v>154</v>
      </c>
      <c r="C54" s="4" t="s">
        <v>155</v>
      </c>
      <c r="D54" s="52">
        <v>20000</v>
      </c>
      <c r="E54" s="37">
        <v>0</v>
      </c>
      <c r="F54" s="52">
        <v>20000</v>
      </c>
      <c r="G54" s="37">
        <v>0</v>
      </c>
      <c r="H54" s="56">
        <v>0</v>
      </c>
      <c r="I54" s="40">
        <v>20000</v>
      </c>
      <c r="J54" s="17"/>
      <c r="K54" t="s">
        <v>336</v>
      </c>
      <c r="L54" s="134">
        <f>'[1]2020'!$Q$69</f>
        <v>20000</v>
      </c>
      <c r="M54" s="20">
        <f t="shared" si="64"/>
        <v>0</v>
      </c>
      <c r="N54" s="20">
        <f t="shared" si="65"/>
        <v>0</v>
      </c>
      <c r="Q54" s="134">
        <v>20000</v>
      </c>
      <c r="R54" s="18">
        <v>0</v>
      </c>
      <c r="S54" s="134">
        <v>20000</v>
      </c>
      <c r="T54" s="177">
        <f>S54-Q54</f>
        <v>0</v>
      </c>
      <c r="U54" s="19">
        <f>S54/Q54-1</f>
        <v>0</v>
      </c>
      <c r="Y54" s="134">
        <v>35000</v>
      </c>
      <c r="AA54" s="134">
        <v>35000</v>
      </c>
      <c r="AB54" s="216">
        <f t="shared" si="86"/>
        <v>0</v>
      </c>
      <c r="AC54" s="219">
        <f t="shared" si="71"/>
        <v>0</v>
      </c>
      <c r="AD54" s="219"/>
      <c r="AE54" s="134">
        <v>35000</v>
      </c>
      <c r="AF54" s="213"/>
      <c r="AH54" s="18">
        <v>35000</v>
      </c>
      <c r="AI54" s="20">
        <f t="shared" si="84"/>
        <v>1</v>
      </c>
      <c r="AK54" s="134">
        <v>10000</v>
      </c>
      <c r="AS54" s="18">
        <f t="shared" si="85"/>
        <v>10000</v>
      </c>
      <c r="AV54" s="18">
        <f t="shared" si="72"/>
        <v>10000</v>
      </c>
      <c r="AX54" s="18"/>
      <c r="AY54" s="18">
        <f t="shared" si="73"/>
        <v>10000</v>
      </c>
      <c r="BA54" s="269">
        <v>-10000</v>
      </c>
      <c r="BB54" s="18">
        <f t="shared" si="74"/>
        <v>0</v>
      </c>
      <c r="BD54" s="18"/>
      <c r="BE54" s="18">
        <f t="shared" si="75"/>
        <v>0</v>
      </c>
      <c r="BG54" s="18">
        <v>4000</v>
      </c>
      <c r="BH54" s="18">
        <f t="shared" si="76"/>
        <v>4000</v>
      </c>
      <c r="BJ54" s="18">
        <v>4000</v>
      </c>
      <c r="BK54" s="279">
        <f t="shared" si="77"/>
        <v>1</v>
      </c>
      <c r="BM54" s="289">
        <v>15000</v>
      </c>
      <c r="BN54" s="279">
        <f t="shared" si="78"/>
        <v>3.75</v>
      </c>
      <c r="BO54" s="279">
        <f t="shared" si="79"/>
        <v>3.75</v>
      </c>
      <c r="BQ54" s="289"/>
      <c r="BR54" s="18">
        <f>BM54+BQ54</f>
        <v>15000</v>
      </c>
      <c r="BT54" s="289"/>
      <c r="BU54" s="18">
        <f>BR54+BT54</f>
        <v>15000</v>
      </c>
      <c r="BW54" s="289"/>
      <c r="BX54" s="18">
        <f>BU54+BW54</f>
        <v>15000</v>
      </c>
      <c r="BZ54" s="289"/>
      <c r="CA54" s="18">
        <f>BX54+BZ54</f>
        <v>15000</v>
      </c>
      <c r="CC54" s="289"/>
      <c r="CD54" s="18">
        <f>CA54+CC54</f>
        <v>15000</v>
      </c>
      <c r="CF54" s="289"/>
      <c r="CG54" s="18">
        <f>CD54+CF54</f>
        <v>15000</v>
      </c>
      <c r="CI54" s="289"/>
      <c r="CJ54" s="18">
        <f>CG54+CI54</f>
        <v>15000</v>
      </c>
      <c r="CL54" s="327">
        <v>5000</v>
      </c>
      <c r="CM54" s="18">
        <f>CJ54+CL54</f>
        <v>20000</v>
      </c>
      <c r="CO54" s="327">
        <v>5500</v>
      </c>
      <c r="CP54" s="18">
        <f t="shared" si="80"/>
        <v>25500</v>
      </c>
      <c r="CR54" s="327"/>
      <c r="CS54" s="18">
        <f t="shared" si="81"/>
        <v>25500</v>
      </c>
      <c r="CU54" s="327"/>
      <c r="CV54" s="18">
        <f t="shared" si="82"/>
        <v>25500</v>
      </c>
      <c r="CX54" s="327"/>
      <c r="CY54" s="18">
        <f t="shared" si="83"/>
        <v>25500</v>
      </c>
      <c r="DA54" s="327">
        <v>25200</v>
      </c>
      <c r="DC54" s="327">
        <v>25000</v>
      </c>
    </row>
    <row r="55" spans="1:107" outlineLevel="1">
      <c r="A55" s="388" t="s">
        <v>143</v>
      </c>
      <c r="B55" s="388" t="s">
        <v>201</v>
      </c>
      <c r="C55" s="4" t="s">
        <v>202</v>
      </c>
      <c r="D55" s="52"/>
      <c r="E55" s="37"/>
      <c r="F55" s="52"/>
      <c r="G55" s="37"/>
      <c r="H55" s="56"/>
      <c r="I55" s="40"/>
      <c r="J55" s="17"/>
      <c r="M55" s="20"/>
      <c r="N55" s="20"/>
      <c r="T55" s="177"/>
      <c r="U55" s="19"/>
      <c r="Y55" s="134"/>
      <c r="AB55" s="216"/>
      <c r="AC55" s="219"/>
      <c r="AD55" s="219"/>
      <c r="AF55" s="213"/>
      <c r="AH55" s="18"/>
      <c r="AI55" s="20"/>
      <c r="AS55" s="18"/>
      <c r="AV55" s="18"/>
      <c r="AX55" s="18"/>
      <c r="AY55" s="18"/>
      <c r="BA55" s="269"/>
      <c r="BB55" s="18"/>
      <c r="BD55" s="18"/>
      <c r="BE55" s="18"/>
      <c r="BG55" s="18"/>
      <c r="BH55" s="18"/>
      <c r="BK55" s="279"/>
      <c r="BM55" s="289"/>
      <c r="BN55" s="279"/>
      <c r="BO55" s="279"/>
      <c r="BQ55" s="289"/>
      <c r="BR55" s="18"/>
      <c r="BT55" s="289"/>
      <c r="BU55" s="18"/>
      <c r="BW55" s="289"/>
      <c r="BX55" s="18"/>
      <c r="BZ55" s="289"/>
      <c r="CA55" s="18"/>
      <c r="CC55" s="289"/>
      <c r="CD55" s="18"/>
      <c r="CF55" s="289"/>
      <c r="CG55" s="18"/>
      <c r="CI55" s="289"/>
      <c r="CJ55" s="18"/>
      <c r="CM55" s="18"/>
      <c r="CO55" s="327">
        <v>50300</v>
      </c>
      <c r="CP55" s="18">
        <f t="shared" si="80"/>
        <v>50300</v>
      </c>
      <c r="CR55" s="327"/>
      <c r="CS55" s="18">
        <f t="shared" si="81"/>
        <v>50300</v>
      </c>
      <c r="CU55" s="327"/>
      <c r="CV55" s="18">
        <f t="shared" si="82"/>
        <v>50300</v>
      </c>
      <c r="CX55" s="327"/>
      <c r="CY55" s="18">
        <f t="shared" si="83"/>
        <v>50300</v>
      </c>
      <c r="DA55" s="327">
        <v>50203</v>
      </c>
      <c r="DC55" s="327">
        <v>0</v>
      </c>
    </row>
    <row r="56" spans="1:107" outlineLevel="1">
      <c r="A56" s="14" t="s">
        <v>143</v>
      </c>
      <c r="B56" s="4" t="s">
        <v>46</v>
      </c>
      <c r="C56" s="4" t="s">
        <v>156</v>
      </c>
      <c r="D56" s="52">
        <v>86000</v>
      </c>
      <c r="E56" s="37">
        <v>80.540000000000006</v>
      </c>
      <c r="F56" s="52">
        <v>112836</v>
      </c>
      <c r="G56" s="37">
        <v>61.39</v>
      </c>
      <c r="H56" s="56">
        <v>69265</v>
      </c>
      <c r="I56" s="40"/>
      <c r="J56" s="17"/>
      <c r="Y56" s="134"/>
      <c r="AF56" s="213"/>
      <c r="AH56" s="18"/>
      <c r="AX56" s="18"/>
      <c r="BD56" s="18"/>
      <c r="BG56" s="18"/>
      <c r="CO56" s="327"/>
      <c r="CR56" s="327"/>
      <c r="CU56" s="327"/>
      <c r="CX56" s="327"/>
      <c r="DA56" s="327"/>
      <c r="DC56" s="327"/>
    </row>
    <row r="57" spans="1:107" outlineLevel="1">
      <c r="A57" s="14" t="s">
        <v>157</v>
      </c>
      <c r="B57" s="4" t="s">
        <v>48</v>
      </c>
      <c r="C57" s="4" t="s">
        <v>158</v>
      </c>
      <c r="D57" s="52">
        <v>86000</v>
      </c>
      <c r="E57" s="37">
        <v>80.540000000000006</v>
      </c>
      <c r="F57" s="52">
        <v>112836</v>
      </c>
      <c r="G57" s="37">
        <v>61.39</v>
      </c>
      <c r="H57" s="56">
        <v>69265</v>
      </c>
      <c r="I57" s="40"/>
      <c r="J57" s="17"/>
      <c r="Y57" s="134"/>
      <c r="AF57" s="213"/>
      <c r="AH57" s="18"/>
      <c r="AX57" s="18"/>
      <c r="BD57" s="18"/>
      <c r="BG57" s="18"/>
    </row>
    <row r="58" spans="1:107" ht="15.75" thickBot="1">
      <c r="A58" s="70" t="s">
        <v>143</v>
      </c>
      <c r="B58" s="71" t="s">
        <v>320</v>
      </c>
      <c r="C58" s="71" t="s">
        <v>324</v>
      </c>
      <c r="D58" s="73">
        <f>SUM(D47:D54)</f>
        <v>86000</v>
      </c>
      <c r="E58" s="74"/>
      <c r="F58" s="73">
        <f>SUM(F47:F54)</f>
        <v>112836</v>
      </c>
      <c r="G58" s="74"/>
      <c r="H58" s="73"/>
      <c r="I58" s="73">
        <f>SUM(I47:I54)</f>
        <v>96136</v>
      </c>
      <c r="J58" s="156" t="e">
        <f>I58/$I$304</f>
        <v>#REF!</v>
      </c>
      <c r="K58" s="76"/>
      <c r="L58" s="138">
        <f>SUM(L47:L54)</f>
        <v>79000</v>
      </c>
      <c r="M58" s="77">
        <f>L58/F58-1</f>
        <v>-0.29986883618703253</v>
      </c>
      <c r="N58" s="77">
        <f>L58/I58-1</f>
        <v>-0.17824748273279523</v>
      </c>
      <c r="O58" s="20">
        <f>L58/$L$304</f>
        <v>1.8329466697530706E-2</v>
      </c>
      <c r="P58" s="20"/>
      <c r="Q58" s="138">
        <f>SUM(Q47:Q54)</f>
        <v>79000</v>
      </c>
      <c r="R58" s="138">
        <f>SUM(R47:R54)</f>
        <v>8352</v>
      </c>
      <c r="S58" s="138">
        <f>SUM(S47:S54)</f>
        <v>34040</v>
      </c>
      <c r="T58" s="138">
        <f>SUM(T47:T54)</f>
        <v>-44960</v>
      </c>
      <c r="U58" s="175">
        <f t="shared" ref="U58:U74" si="87">S58/Q58-1</f>
        <v>-0.56911392405063288</v>
      </c>
      <c r="Y58" s="138">
        <f>SUM(Y47:Y54)</f>
        <v>50940</v>
      </c>
      <c r="AA58" s="138">
        <f>SUM(AA47:AA54)</f>
        <v>46240</v>
      </c>
      <c r="AB58" s="138">
        <f>SUM(AB47:AB54)</f>
        <v>-4700</v>
      </c>
      <c r="AE58" s="138">
        <f>SUM(AE47:AE54)</f>
        <v>46540</v>
      </c>
      <c r="AF58" s="213"/>
      <c r="AH58" s="138">
        <f>SUM(AH47:AH54)</f>
        <v>45971</v>
      </c>
      <c r="AI58" s="20">
        <f t="shared" ref="AI58:AI74" si="88">AH58/AE58</f>
        <v>0.98777395788568978</v>
      </c>
      <c r="AK58" s="138">
        <f>SUM(AK47:AK54)</f>
        <v>24000</v>
      </c>
      <c r="AL58" s="229">
        <f>AK58/L58</f>
        <v>0.30379746835443039</v>
      </c>
      <c r="AM58" s="20">
        <f>AK58/AE58</f>
        <v>0.51568543188654925</v>
      </c>
      <c r="AN58" s="20">
        <f>AK58/AH58</f>
        <v>0.52206826042505061</v>
      </c>
      <c r="AS58" s="138">
        <f>SUM(AS47:AS54)</f>
        <v>24000</v>
      </c>
      <c r="AU58" s="138">
        <f>SUM(AU47:AU54)</f>
        <v>0</v>
      </c>
      <c r="AV58" s="138">
        <f>SUM(AV47:AV54)</f>
        <v>24000</v>
      </c>
      <c r="AX58" s="138">
        <f>SUM(AX47:AX54)</f>
        <v>0</v>
      </c>
      <c r="AY58" s="138">
        <f>SUM(AY47:AY54)</f>
        <v>24000</v>
      </c>
      <c r="BA58" s="138">
        <f>SUM(BA47:BA54)</f>
        <v>-9000</v>
      </c>
      <c r="BB58" s="138">
        <f>SUM(BB47:BB54)</f>
        <v>19000</v>
      </c>
      <c r="BD58" s="138">
        <f>SUM(BD47:BD54)</f>
        <v>700</v>
      </c>
      <c r="BE58" s="138">
        <f>SUM(BE47:BE54)</f>
        <v>19700</v>
      </c>
      <c r="BG58" s="138">
        <f>SUM(BG47:BG54)</f>
        <v>4000</v>
      </c>
      <c r="BH58" s="138">
        <f>SUM(BH47:BH54)</f>
        <v>23700</v>
      </c>
      <c r="BJ58" s="138">
        <f>SUM(BJ47:BJ54)</f>
        <v>20011.43</v>
      </c>
      <c r="BK58" s="280">
        <f t="shared" ref="BK58" si="89">BJ58/BH58</f>
        <v>0.84436413502109708</v>
      </c>
      <c r="BM58" s="138">
        <f>SUM(BM47:BM54)</f>
        <v>33200</v>
      </c>
      <c r="BN58" s="280">
        <f t="shared" ref="BN58" si="90">BM58/BJ58</f>
        <v>1.6590518518666582</v>
      </c>
      <c r="BO58" s="280">
        <f t="shared" ref="BO58" si="91">BM58/BH58</f>
        <v>1.4008438818565401</v>
      </c>
      <c r="BQ58" s="138">
        <f>SUM(BQ47:BQ54)</f>
        <v>0</v>
      </c>
      <c r="BR58" s="138">
        <f>SUM(BR47:BR54)</f>
        <v>33200</v>
      </c>
      <c r="BT58" s="138">
        <f>SUM(BT47:BT54)</f>
        <v>10000</v>
      </c>
      <c r="BU58" s="138">
        <f>SUM(BU47:BU54)</f>
        <v>43200</v>
      </c>
      <c r="BW58" s="138">
        <f>SUM(BW47:BW54)</f>
        <v>0</v>
      </c>
      <c r="BX58" s="138">
        <f>SUM(BX47:BX54)</f>
        <v>43200</v>
      </c>
      <c r="BZ58" s="138">
        <f>SUM(BZ47:BZ54)</f>
        <v>0</v>
      </c>
      <c r="CA58" s="138">
        <f>SUM(CA47:CA54)</f>
        <v>43200</v>
      </c>
      <c r="CC58" s="138">
        <f>SUM(CC47:CC54)</f>
        <v>0</v>
      </c>
      <c r="CD58" s="138">
        <f>SUM(CD47:CD54)</f>
        <v>43200</v>
      </c>
      <c r="CF58" s="138">
        <f>SUM(CF47:CF54)</f>
        <v>1000</v>
      </c>
      <c r="CG58" s="138">
        <f>SUM(CG47:CG54)</f>
        <v>44200</v>
      </c>
      <c r="CI58" s="138">
        <f>SUM(CI47:CI54)</f>
        <v>0</v>
      </c>
      <c r="CJ58" s="138">
        <f>SUM(CJ47:CJ54)</f>
        <v>44200</v>
      </c>
      <c r="CL58" s="391">
        <f>SUM(CL47:CL54)</f>
        <v>12000</v>
      </c>
      <c r="CM58" s="138">
        <f>SUM(CM47:CM54)</f>
        <v>56200</v>
      </c>
      <c r="CO58" s="138">
        <f>SUM(CO47:CO54)</f>
        <v>15500</v>
      </c>
      <c r="CP58" s="138">
        <f>SUM(CP47:CP54)</f>
        <v>71700</v>
      </c>
      <c r="CR58" s="138">
        <f>SUM(CR47:CR54)</f>
        <v>0</v>
      </c>
      <c r="CS58" s="138">
        <f>SUM(CS47:CS54)</f>
        <v>71700</v>
      </c>
      <c r="CU58" s="138">
        <f>SUM(CU47:CU54)</f>
        <v>-9200</v>
      </c>
      <c r="CV58" s="138">
        <f>SUM(CV47:CV54)</f>
        <v>62500</v>
      </c>
      <c r="CX58" s="138">
        <f>SUM(CX47:CX54)</f>
        <v>0</v>
      </c>
      <c r="CY58" s="138">
        <f>SUM(CY47:CY54)</f>
        <v>62500</v>
      </c>
      <c r="DA58" s="138">
        <f>SUM(DA47:DA54)</f>
        <v>62077.39</v>
      </c>
      <c r="DC58" s="138">
        <f>SUM(DC47:DC54)</f>
        <v>70000</v>
      </c>
    </row>
    <row r="59" spans="1:107" ht="16.5" thickTop="1" thickBot="1">
      <c r="A59" s="91" t="s">
        <v>143</v>
      </c>
      <c r="B59" s="92" t="s">
        <v>281</v>
      </c>
      <c r="C59" s="340" t="s">
        <v>324</v>
      </c>
      <c r="D59" s="395"/>
      <c r="E59" s="396"/>
      <c r="F59" s="395"/>
      <c r="G59" s="396"/>
      <c r="H59" s="395"/>
      <c r="I59" s="395"/>
      <c r="J59" s="397"/>
      <c r="K59" s="398"/>
      <c r="L59" s="399"/>
      <c r="M59" s="400"/>
      <c r="N59" s="400"/>
      <c r="O59" s="20"/>
      <c r="P59" s="20"/>
      <c r="Q59" s="399"/>
      <c r="R59" s="399"/>
      <c r="S59" s="399"/>
      <c r="T59" s="399"/>
      <c r="U59" s="175"/>
      <c r="Y59" s="399"/>
      <c r="AA59" s="399"/>
      <c r="AB59" s="399"/>
      <c r="AE59" s="399"/>
      <c r="AF59" s="213"/>
      <c r="AH59" s="399"/>
      <c r="AI59" s="20"/>
      <c r="AK59" s="399"/>
      <c r="AL59" s="229"/>
      <c r="AM59" s="20"/>
      <c r="AN59" s="20"/>
      <c r="AS59" s="399"/>
      <c r="AU59" s="399"/>
      <c r="AV59" s="399"/>
      <c r="AX59" s="399"/>
      <c r="AY59" s="399"/>
      <c r="BA59" s="399"/>
      <c r="BB59" s="399"/>
      <c r="BD59" s="399"/>
      <c r="BE59" s="399"/>
      <c r="BG59" s="399"/>
      <c r="BH59" s="399"/>
      <c r="BJ59" s="399"/>
      <c r="BK59" s="401"/>
      <c r="BM59" s="399"/>
      <c r="BN59" s="401"/>
      <c r="BO59" s="401"/>
      <c r="BQ59" s="399"/>
      <c r="BR59" s="399"/>
      <c r="BT59" s="399"/>
      <c r="BU59" s="399"/>
      <c r="BW59" s="399"/>
      <c r="BX59" s="399"/>
      <c r="BZ59" s="399"/>
      <c r="CA59" s="399"/>
      <c r="CC59" s="399"/>
      <c r="CD59" s="399"/>
      <c r="CF59" s="399"/>
      <c r="CG59" s="399"/>
      <c r="CI59" s="402"/>
      <c r="CJ59" s="402"/>
      <c r="CL59" s="137"/>
      <c r="CM59" s="403"/>
      <c r="CO59" s="403">
        <f>CO55</f>
        <v>50300</v>
      </c>
      <c r="CP59" s="403">
        <f>CP55</f>
        <v>50300</v>
      </c>
      <c r="CR59" s="403">
        <f>CR55</f>
        <v>0</v>
      </c>
      <c r="CS59" s="403">
        <f>CS55</f>
        <v>50300</v>
      </c>
      <c r="CU59" s="403">
        <f>CU55</f>
        <v>0</v>
      </c>
      <c r="CV59" s="403">
        <f>CV55</f>
        <v>50300</v>
      </c>
      <c r="CX59" s="403">
        <f>CX55</f>
        <v>0</v>
      </c>
      <c r="CY59" s="403">
        <f>CY55</f>
        <v>50300</v>
      </c>
      <c r="DA59" s="403">
        <f>DA55</f>
        <v>50203</v>
      </c>
      <c r="DC59" s="403">
        <f>DC55</f>
        <v>0</v>
      </c>
    </row>
    <row r="60" spans="1:107" ht="15.75" outlineLevel="1" thickTop="1">
      <c r="A60">
        <v>3314</v>
      </c>
      <c r="B60" s="42" t="s">
        <v>144</v>
      </c>
      <c r="C60" s="41" t="s">
        <v>145</v>
      </c>
      <c r="I60" s="40">
        <v>0</v>
      </c>
      <c r="J60" s="17"/>
      <c r="K60" t="s">
        <v>336</v>
      </c>
      <c r="L60" s="134">
        <f>12*'[2]2020'!$D$27+450</f>
        <v>7999.920000000001</v>
      </c>
      <c r="M60" s="20" t="e">
        <f t="shared" ref="M60:M69" si="92">L60/F60-1</f>
        <v>#DIV/0!</v>
      </c>
      <c r="N60" s="20" t="e">
        <f t="shared" ref="N60:N69" si="93">L60/I60-1</f>
        <v>#DIV/0!</v>
      </c>
      <c r="Q60" s="134">
        <v>8000</v>
      </c>
      <c r="R60" s="18">
        <v>3206</v>
      </c>
      <c r="S60" s="134">
        <v>6700</v>
      </c>
      <c r="T60" s="177">
        <f t="shared" ref="T60:T69" si="94">S60-Q60</f>
        <v>-1300</v>
      </c>
      <c r="U60" s="19">
        <f t="shared" si="87"/>
        <v>-0.16249999999999998</v>
      </c>
      <c r="Y60" s="134">
        <v>6700</v>
      </c>
      <c r="AA60" s="134">
        <v>6000</v>
      </c>
      <c r="AB60" s="216">
        <f>AA60-Y60</f>
        <v>-700</v>
      </c>
      <c r="AC60" s="219">
        <f t="shared" ref="AC60:AC69" si="95">AA60-Y60</f>
        <v>-700</v>
      </c>
      <c r="AD60" s="219"/>
      <c r="AE60" s="134">
        <v>6000</v>
      </c>
      <c r="AF60" s="213"/>
      <c r="AH60" s="18">
        <v>5762</v>
      </c>
      <c r="AI60" s="20">
        <f t="shared" si="88"/>
        <v>0.96033333333333337</v>
      </c>
      <c r="AK60" s="134">
        <v>10300</v>
      </c>
      <c r="AS60" s="18">
        <f t="shared" ref="AS60:AS68" si="96">AR60+AK60</f>
        <v>10300</v>
      </c>
      <c r="AV60" s="18">
        <f t="shared" ref="AV60:AV68" si="97">AS60+AU60</f>
        <v>10300</v>
      </c>
      <c r="AX60" s="18"/>
      <c r="AY60" s="18">
        <f t="shared" ref="AY60:AY68" si="98">AV60+AX60</f>
        <v>10300</v>
      </c>
      <c r="BB60" s="18">
        <f t="shared" ref="BB60:BB68" si="99">AY60+BA60</f>
        <v>10300</v>
      </c>
      <c r="BD60" s="18"/>
      <c r="BE60" s="18">
        <f t="shared" ref="BE60:BE68" si="100">BB60+BD60</f>
        <v>10300</v>
      </c>
      <c r="BG60" s="18"/>
      <c r="BH60" s="18">
        <f t="shared" ref="BH60:BH68" si="101">BE60+BG60</f>
        <v>10300</v>
      </c>
      <c r="BJ60" s="18">
        <v>10224</v>
      </c>
      <c r="BK60" s="279">
        <f t="shared" ref="BK60:BK68" si="102">BJ60/BH60</f>
        <v>0.99262135922330097</v>
      </c>
      <c r="BM60" s="289">
        <v>11300</v>
      </c>
      <c r="BN60" s="279">
        <f t="shared" ref="BN60:BN68" si="103">BM60/BJ60</f>
        <v>1.1052425665101722</v>
      </c>
      <c r="BO60" s="279">
        <f t="shared" ref="BO60:BO68" si="104">BM60/BH60</f>
        <v>1.0970873786407767</v>
      </c>
      <c r="BQ60" s="289"/>
      <c r="BR60" s="18">
        <f t="shared" ref="BR60:BR68" si="105">BM60+BQ60</f>
        <v>11300</v>
      </c>
      <c r="BT60" s="289"/>
      <c r="BU60" s="18">
        <f t="shared" ref="BU60:BU68" si="106">BR60+BT60</f>
        <v>11300</v>
      </c>
      <c r="BW60" s="289"/>
      <c r="BX60" s="18">
        <f t="shared" ref="BX60:BX68" si="107">BU60+BW60</f>
        <v>11300</v>
      </c>
      <c r="BZ60" s="289"/>
      <c r="CA60" s="18">
        <f t="shared" ref="CA60:CA68" si="108">BX60+BZ60</f>
        <v>11300</v>
      </c>
      <c r="CC60" s="289"/>
      <c r="CD60" s="18">
        <f t="shared" ref="CD60:CD68" si="109">CA60+CC60</f>
        <v>11300</v>
      </c>
      <c r="CF60" s="289"/>
      <c r="CG60" s="18">
        <f t="shared" ref="CG60:CG68" si="110">CD60+CF60</f>
        <v>11300</v>
      </c>
      <c r="CI60" s="289"/>
      <c r="CJ60" s="18">
        <f t="shared" ref="CJ60:CJ68" si="111">CG60+CI60</f>
        <v>11300</v>
      </c>
      <c r="CM60" s="18">
        <f t="shared" ref="CM60:CM68" si="112">CJ60+CL60</f>
        <v>11300</v>
      </c>
      <c r="CP60" s="18">
        <f t="shared" ref="CP60:CP68" si="113">CM60+CO60</f>
        <v>11300</v>
      </c>
      <c r="CS60" s="18">
        <f t="shared" ref="CS60:CS68" si="114">CP60+CR60</f>
        <v>11300</v>
      </c>
      <c r="CV60" s="18">
        <f t="shared" ref="CV60:CV68" si="115">CS60+CU60</f>
        <v>11300</v>
      </c>
      <c r="CY60" s="18">
        <f t="shared" ref="CY60:CY68" si="116">CV60+CX60</f>
        <v>11300</v>
      </c>
      <c r="DA60" s="289">
        <v>11192</v>
      </c>
      <c r="DC60" s="289">
        <v>11300</v>
      </c>
    </row>
    <row r="61" spans="1:107" outlineLevel="1">
      <c r="A61">
        <v>3314</v>
      </c>
      <c r="B61" s="42" t="s">
        <v>146</v>
      </c>
      <c r="C61" s="41" t="s">
        <v>147</v>
      </c>
      <c r="I61" s="40"/>
      <c r="J61" s="17"/>
      <c r="L61" s="134">
        <v>4000</v>
      </c>
      <c r="M61" s="20" t="e">
        <f t="shared" si="92"/>
        <v>#DIV/0!</v>
      </c>
      <c r="N61" s="20" t="e">
        <f t="shared" si="93"/>
        <v>#DIV/0!</v>
      </c>
      <c r="Q61" s="134">
        <v>4000</v>
      </c>
      <c r="R61" s="18">
        <v>0</v>
      </c>
      <c r="S61" s="134">
        <v>3000</v>
      </c>
      <c r="T61" s="177">
        <f t="shared" si="94"/>
        <v>-1000</v>
      </c>
      <c r="U61" s="19">
        <f t="shared" si="87"/>
        <v>-0.25</v>
      </c>
      <c r="Y61" s="134">
        <v>3000</v>
      </c>
      <c r="AA61" s="143">
        <v>3000</v>
      </c>
      <c r="AB61" s="216">
        <f t="shared" ref="AB61:AB69" si="117">AA61-Y61</f>
        <v>0</v>
      </c>
      <c r="AC61" s="219">
        <f t="shared" si="95"/>
        <v>0</v>
      </c>
      <c r="AD61" s="219"/>
      <c r="AE61" s="143">
        <v>3000</v>
      </c>
      <c r="AF61" s="213"/>
      <c r="AH61" s="18">
        <v>0</v>
      </c>
      <c r="AI61" s="20">
        <f t="shared" si="88"/>
        <v>0</v>
      </c>
      <c r="AK61" s="134">
        <v>3000</v>
      </c>
      <c r="AS61" s="18">
        <f t="shared" si="96"/>
        <v>3000</v>
      </c>
      <c r="AV61" s="18">
        <f t="shared" si="97"/>
        <v>3000</v>
      </c>
      <c r="AX61" s="18"/>
      <c r="AY61" s="18">
        <f t="shared" si="98"/>
        <v>3000</v>
      </c>
      <c r="BB61" s="18">
        <f t="shared" si="99"/>
        <v>3000</v>
      </c>
      <c r="BD61" s="18"/>
      <c r="BE61" s="18">
        <f t="shared" si="100"/>
        <v>3000</v>
      </c>
      <c r="BG61" s="18"/>
      <c r="BH61" s="18">
        <f t="shared" si="101"/>
        <v>3000</v>
      </c>
      <c r="BJ61" s="18">
        <v>2871.75</v>
      </c>
      <c r="BK61" s="279">
        <f t="shared" si="102"/>
        <v>0.95725000000000005</v>
      </c>
      <c r="BM61" s="289">
        <v>4000</v>
      </c>
      <c r="BN61" s="279">
        <f t="shared" si="103"/>
        <v>1.3928789065900584</v>
      </c>
      <c r="BO61" s="279">
        <f t="shared" si="104"/>
        <v>1.3333333333333333</v>
      </c>
      <c r="BQ61" s="289"/>
      <c r="BR61" s="18">
        <f t="shared" si="105"/>
        <v>4000</v>
      </c>
      <c r="BT61" s="289"/>
      <c r="BU61" s="18">
        <f t="shared" si="106"/>
        <v>4000</v>
      </c>
      <c r="BW61" s="289"/>
      <c r="BX61" s="18">
        <f t="shared" si="107"/>
        <v>4000</v>
      </c>
      <c r="BZ61" s="289"/>
      <c r="CA61" s="18">
        <f t="shared" si="108"/>
        <v>4000</v>
      </c>
      <c r="CC61" s="289"/>
      <c r="CD61" s="18">
        <f t="shared" si="109"/>
        <v>4000</v>
      </c>
      <c r="CF61" s="289"/>
      <c r="CG61" s="18">
        <f t="shared" si="110"/>
        <v>4000</v>
      </c>
      <c r="CI61" s="289"/>
      <c r="CJ61" s="18">
        <f t="shared" si="111"/>
        <v>4000</v>
      </c>
      <c r="CM61" s="18">
        <f t="shared" si="112"/>
        <v>4000</v>
      </c>
      <c r="CP61" s="18">
        <f t="shared" si="113"/>
        <v>4000</v>
      </c>
      <c r="CS61" s="18">
        <f t="shared" si="114"/>
        <v>4000</v>
      </c>
      <c r="CV61" s="18">
        <f t="shared" si="115"/>
        <v>4000</v>
      </c>
      <c r="CY61" s="18">
        <f t="shared" si="116"/>
        <v>4000</v>
      </c>
      <c r="DA61" s="289">
        <v>3951.5</v>
      </c>
      <c r="DC61" s="289">
        <v>4000</v>
      </c>
    </row>
    <row r="62" spans="1:107" outlineLevel="1">
      <c r="A62">
        <v>3314</v>
      </c>
      <c r="B62" s="14" t="s">
        <v>148</v>
      </c>
      <c r="C62" s="4" t="s">
        <v>149</v>
      </c>
      <c r="I62" s="40"/>
      <c r="J62" s="17"/>
      <c r="L62" s="134">
        <v>1000</v>
      </c>
      <c r="M62" s="20" t="e">
        <f t="shared" si="92"/>
        <v>#DIV/0!</v>
      </c>
      <c r="N62" s="20" t="e">
        <f t="shared" si="93"/>
        <v>#DIV/0!</v>
      </c>
      <c r="Q62" s="134">
        <v>1000</v>
      </c>
      <c r="R62" s="18">
        <v>757</v>
      </c>
      <c r="S62" s="134">
        <v>1500</v>
      </c>
      <c r="T62" s="177">
        <f t="shared" si="94"/>
        <v>500</v>
      </c>
      <c r="U62" s="19">
        <f t="shared" si="87"/>
        <v>0.5</v>
      </c>
      <c r="Y62" s="134">
        <v>1500</v>
      </c>
      <c r="AA62" s="134">
        <v>800</v>
      </c>
      <c r="AB62" s="216">
        <f t="shared" si="117"/>
        <v>-700</v>
      </c>
      <c r="AC62" s="219">
        <f t="shared" si="95"/>
        <v>-700</v>
      </c>
      <c r="AD62" s="219"/>
      <c r="AE62" s="134">
        <v>800</v>
      </c>
      <c r="AF62" s="213"/>
      <c r="AH62" s="18">
        <v>757</v>
      </c>
      <c r="AI62" s="20">
        <f t="shared" si="88"/>
        <v>0.94625000000000004</v>
      </c>
      <c r="AK62" s="134">
        <v>1000</v>
      </c>
      <c r="AS62" s="18">
        <f t="shared" si="96"/>
        <v>1000</v>
      </c>
      <c r="AV62" s="18">
        <f t="shared" si="97"/>
        <v>1000</v>
      </c>
      <c r="AX62" s="18"/>
      <c r="AY62" s="18">
        <f t="shared" si="98"/>
        <v>1000</v>
      </c>
      <c r="BB62" s="18">
        <f t="shared" si="99"/>
        <v>1000</v>
      </c>
      <c r="BD62" s="18"/>
      <c r="BE62" s="18">
        <f t="shared" si="100"/>
        <v>1000</v>
      </c>
      <c r="BG62" s="18">
        <v>-1000</v>
      </c>
      <c r="BH62" s="18">
        <f t="shared" si="101"/>
        <v>0</v>
      </c>
      <c r="BJ62" s="18">
        <v>0</v>
      </c>
      <c r="BK62" s="279" t="e">
        <f t="shared" si="102"/>
        <v>#DIV/0!</v>
      </c>
      <c r="BM62" s="289">
        <v>0</v>
      </c>
      <c r="BN62" s="279" t="e">
        <f t="shared" si="103"/>
        <v>#DIV/0!</v>
      </c>
      <c r="BO62" s="279" t="e">
        <f t="shared" si="104"/>
        <v>#DIV/0!</v>
      </c>
      <c r="BQ62" s="289"/>
      <c r="BR62" s="18">
        <f t="shared" si="105"/>
        <v>0</v>
      </c>
      <c r="BT62" s="289"/>
      <c r="BU62" s="18">
        <f t="shared" si="106"/>
        <v>0</v>
      </c>
      <c r="BW62" s="289"/>
      <c r="BX62" s="18">
        <f t="shared" si="107"/>
        <v>0</v>
      </c>
      <c r="BZ62" s="289"/>
      <c r="CA62" s="18">
        <f t="shared" si="108"/>
        <v>0</v>
      </c>
      <c r="CC62" s="289"/>
      <c r="CD62" s="18">
        <f t="shared" si="109"/>
        <v>0</v>
      </c>
      <c r="CF62" s="289"/>
      <c r="CG62" s="18">
        <f t="shared" si="110"/>
        <v>0</v>
      </c>
      <c r="CI62" s="289"/>
      <c r="CJ62" s="18">
        <f t="shared" si="111"/>
        <v>0</v>
      </c>
      <c r="CM62" s="18">
        <f t="shared" si="112"/>
        <v>0</v>
      </c>
      <c r="CP62" s="18">
        <f t="shared" si="113"/>
        <v>0</v>
      </c>
      <c r="CS62" s="18">
        <f t="shared" si="114"/>
        <v>0</v>
      </c>
      <c r="CV62" s="18">
        <f t="shared" si="115"/>
        <v>0</v>
      </c>
      <c r="CY62" s="18">
        <f t="shared" si="116"/>
        <v>0</v>
      </c>
      <c r="DA62" s="289">
        <v>0</v>
      </c>
    </row>
    <row r="63" spans="1:107" outlineLevel="1">
      <c r="A63">
        <v>3314</v>
      </c>
      <c r="B63" s="42" t="s">
        <v>159</v>
      </c>
      <c r="C63" s="41" t="s">
        <v>160</v>
      </c>
      <c r="I63" s="40"/>
      <c r="J63" s="17"/>
      <c r="K63" t="s">
        <v>336</v>
      </c>
      <c r="L63" s="134">
        <v>1000</v>
      </c>
      <c r="M63" s="20" t="e">
        <f t="shared" si="92"/>
        <v>#DIV/0!</v>
      </c>
      <c r="N63" s="20" t="e">
        <f t="shared" si="93"/>
        <v>#DIV/0!</v>
      </c>
      <c r="Q63" s="134">
        <v>1000</v>
      </c>
      <c r="R63" s="18">
        <v>60</v>
      </c>
      <c r="S63" s="134">
        <v>450</v>
      </c>
      <c r="T63" s="177">
        <f t="shared" si="94"/>
        <v>-550</v>
      </c>
      <c r="U63" s="19">
        <f t="shared" si="87"/>
        <v>-0.55000000000000004</v>
      </c>
      <c r="Y63" s="134">
        <v>450</v>
      </c>
      <c r="AA63" s="134">
        <v>400</v>
      </c>
      <c r="AB63" s="216">
        <f t="shared" si="117"/>
        <v>-50</v>
      </c>
      <c r="AC63" s="219">
        <f t="shared" si="95"/>
        <v>-50</v>
      </c>
      <c r="AD63" s="219"/>
      <c r="AE63" s="134">
        <v>400</v>
      </c>
      <c r="AF63" s="213"/>
      <c r="AH63" s="18">
        <v>243.6</v>
      </c>
      <c r="AI63" s="20">
        <f t="shared" si="88"/>
        <v>0.60899999999999999</v>
      </c>
      <c r="AK63" s="134">
        <v>400</v>
      </c>
      <c r="AS63" s="18">
        <f t="shared" si="96"/>
        <v>400</v>
      </c>
      <c r="AV63" s="18">
        <f t="shared" si="97"/>
        <v>400</v>
      </c>
      <c r="AX63" s="18"/>
      <c r="AY63" s="18">
        <f t="shared" si="98"/>
        <v>400</v>
      </c>
      <c r="BB63" s="18">
        <f t="shared" si="99"/>
        <v>400</v>
      </c>
      <c r="BD63" s="18"/>
      <c r="BE63" s="18">
        <f t="shared" si="100"/>
        <v>400</v>
      </c>
      <c r="BG63" s="18"/>
      <c r="BH63" s="18">
        <f t="shared" si="101"/>
        <v>400</v>
      </c>
      <c r="BJ63" s="18">
        <v>384</v>
      </c>
      <c r="BK63" s="279">
        <f t="shared" si="102"/>
        <v>0.96</v>
      </c>
      <c r="BM63" s="289">
        <f>2*85+230</f>
        <v>400</v>
      </c>
      <c r="BN63" s="279">
        <f t="shared" si="103"/>
        <v>1.0416666666666667</v>
      </c>
      <c r="BO63" s="279">
        <f t="shared" si="104"/>
        <v>1</v>
      </c>
      <c r="BQ63" s="289"/>
      <c r="BR63" s="18">
        <f t="shared" si="105"/>
        <v>400</v>
      </c>
      <c r="BT63" s="289"/>
      <c r="BU63" s="18">
        <f t="shared" si="106"/>
        <v>400</v>
      </c>
      <c r="BW63" s="289"/>
      <c r="BX63" s="18">
        <f t="shared" si="107"/>
        <v>400</v>
      </c>
      <c r="BZ63" s="289"/>
      <c r="CA63" s="18">
        <f t="shared" si="108"/>
        <v>400</v>
      </c>
      <c r="CC63" s="289"/>
      <c r="CD63" s="18">
        <f t="shared" si="109"/>
        <v>400</v>
      </c>
      <c r="CF63" s="289"/>
      <c r="CG63" s="18">
        <f t="shared" si="110"/>
        <v>400</v>
      </c>
      <c r="CI63" s="289"/>
      <c r="CJ63" s="18">
        <f t="shared" si="111"/>
        <v>400</v>
      </c>
      <c r="CM63" s="18">
        <f t="shared" si="112"/>
        <v>400</v>
      </c>
      <c r="CP63" s="18">
        <f t="shared" si="113"/>
        <v>400</v>
      </c>
      <c r="CS63" s="18">
        <f t="shared" si="114"/>
        <v>400</v>
      </c>
      <c r="CV63" s="18">
        <f t="shared" si="115"/>
        <v>400</v>
      </c>
      <c r="CY63" s="18">
        <f t="shared" si="116"/>
        <v>400</v>
      </c>
      <c r="DA63" s="289">
        <v>133</v>
      </c>
      <c r="DC63" s="289">
        <v>300</v>
      </c>
    </row>
    <row r="64" spans="1:107" outlineLevel="1">
      <c r="A64">
        <v>3314</v>
      </c>
      <c r="B64" s="42" t="s">
        <v>161</v>
      </c>
      <c r="C64" s="41" t="s">
        <v>162</v>
      </c>
      <c r="I64" s="40"/>
      <c r="J64" s="17"/>
      <c r="K64" t="s">
        <v>336</v>
      </c>
      <c r="L64" s="143">
        <v>24800</v>
      </c>
      <c r="M64" s="20" t="e">
        <f t="shared" si="92"/>
        <v>#DIV/0!</v>
      </c>
      <c r="N64" s="20" t="e">
        <f t="shared" si="93"/>
        <v>#DIV/0!</v>
      </c>
      <c r="Q64" s="134">
        <v>23000</v>
      </c>
      <c r="R64" s="18">
        <v>9870</v>
      </c>
      <c r="S64" s="134">
        <v>20000</v>
      </c>
      <c r="T64" s="18">
        <f t="shared" si="94"/>
        <v>-3000</v>
      </c>
      <c r="U64" s="19">
        <f t="shared" si="87"/>
        <v>-0.13043478260869568</v>
      </c>
      <c r="V64" s="159">
        <v>23000</v>
      </c>
      <c r="W64">
        <v>-1800</v>
      </c>
      <c r="Y64" s="134">
        <v>20000</v>
      </c>
      <c r="AA64" s="134">
        <v>22000</v>
      </c>
      <c r="AB64" s="216">
        <f t="shared" si="117"/>
        <v>2000</v>
      </c>
      <c r="AC64" s="219">
        <f t="shared" si="95"/>
        <v>2000</v>
      </c>
      <c r="AD64" s="219"/>
      <c r="AE64" s="134">
        <v>24500</v>
      </c>
      <c r="AF64" s="213">
        <f>AE64-AA64</f>
        <v>2500</v>
      </c>
      <c r="AH64" s="18">
        <v>24469.4</v>
      </c>
      <c r="AI64" s="20">
        <f t="shared" si="88"/>
        <v>0.99875102040816333</v>
      </c>
      <c r="AK64" s="134">
        <v>25000</v>
      </c>
      <c r="AS64" s="18">
        <f t="shared" si="96"/>
        <v>25000</v>
      </c>
      <c r="AV64" s="18">
        <f t="shared" si="97"/>
        <v>25000</v>
      </c>
      <c r="AX64" s="18"/>
      <c r="AY64" s="18">
        <f t="shared" si="98"/>
        <v>25000</v>
      </c>
      <c r="BB64" s="18">
        <f t="shared" si="99"/>
        <v>25000</v>
      </c>
      <c r="BD64" s="18">
        <v>3000</v>
      </c>
      <c r="BE64" s="18">
        <f t="shared" si="100"/>
        <v>28000</v>
      </c>
      <c r="BG64" s="18">
        <v>500</v>
      </c>
      <c r="BH64" s="18">
        <f t="shared" si="101"/>
        <v>28500</v>
      </c>
      <c r="BJ64" s="18">
        <v>28038.6</v>
      </c>
      <c r="BK64" s="279">
        <f t="shared" si="102"/>
        <v>0.98381052631578947</v>
      </c>
      <c r="BM64" s="292">
        <f>12*6300</f>
        <v>75600</v>
      </c>
      <c r="BN64" s="279">
        <f t="shared" si="103"/>
        <v>2.6962829813186109</v>
      </c>
      <c r="BO64" s="279">
        <f t="shared" si="104"/>
        <v>2.6526315789473682</v>
      </c>
      <c r="BQ64" s="289"/>
      <c r="BR64" s="18">
        <f t="shared" si="105"/>
        <v>75600</v>
      </c>
      <c r="BT64" s="289"/>
      <c r="BU64" s="18">
        <f t="shared" si="106"/>
        <v>75600</v>
      </c>
      <c r="BW64" s="289"/>
      <c r="BX64" s="18">
        <f t="shared" si="107"/>
        <v>75600</v>
      </c>
      <c r="BZ64" s="289"/>
      <c r="CA64" s="18">
        <f t="shared" si="108"/>
        <v>75600</v>
      </c>
      <c r="CC64" s="289"/>
      <c r="CD64" s="18">
        <f t="shared" si="109"/>
        <v>75600</v>
      </c>
      <c r="CF64" s="289"/>
      <c r="CG64" s="18">
        <f t="shared" si="110"/>
        <v>75600</v>
      </c>
      <c r="CI64" s="289"/>
      <c r="CJ64" s="18">
        <f t="shared" si="111"/>
        <v>75600</v>
      </c>
      <c r="CM64" s="18">
        <f t="shared" si="112"/>
        <v>75600</v>
      </c>
      <c r="CP64" s="18">
        <f t="shared" si="113"/>
        <v>75600</v>
      </c>
      <c r="CS64" s="18">
        <f t="shared" si="114"/>
        <v>75600</v>
      </c>
      <c r="CU64" s="349">
        <v>7000</v>
      </c>
      <c r="CV64" s="18">
        <f t="shared" si="115"/>
        <v>82600</v>
      </c>
      <c r="CX64" s="349"/>
      <c r="CY64" s="18">
        <f t="shared" si="116"/>
        <v>82600</v>
      </c>
      <c r="DA64" s="289">
        <v>82478.87</v>
      </c>
      <c r="DC64" s="289">
        <v>80000</v>
      </c>
    </row>
    <row r="65" spans="1:107" outlineLevel="1">
      <c r="A65">
        <v>3314</v>
      </c>
      <c r="B65" s="42" t="s">
        <v>163</v>
      </c>
      <c r="C65" s="41" t="s">
        <v>164</v>
      </c>
      <c r="I65" s="40"/>
      <c r="J65" s="17"/>
      <c r="K65" t="s">
        <v>336</v>
      </c>
      <c r="L65" s="134">
        <v>5000</v>
      </c>
      <c r="M65" s="20" t="e">
        <f t="shared" si="92"/>
        <v>#DIV/0!</v>
      </c>
      <c r="N65" s="20" t="e">
        <f t="shared" si="93"/>
        <v>#DIV/0!</v>
      </c>
      <c r="Q65" s="134">
        <v>5000</v>
      </c>
      <c r="R65" s="18">
        <v>523</v>
      </c>
      <c r="S65" s="134">
        <v>4000</v>
      </c>
      <c r="T65" s="18">
        <f t="shared" si="94"/>
        <v>-1000</v>
      </c>
      <c r="U65" s="19">
        <f t="shared" si="87"/>
        <v>-0.19999999999999996</v>
      </c>
      <c r="Y65" s="134">
        <v>2500</v>
      </c>
      <c r="AA65" s="134">
        <v>2500</v>
      </c>
      <c r="AB65" s="216">
        <f t="shared" si="117"/>
        <v>0</v>
      </c>
      <c r="AC65" s="219">
        <f t="shared" si="95"/>
        <v>0</v>
      </c>
      <c r="AD65" s="219"/>
      <c r="AE65" s="134">
        <v>2500</v>
      </c>
      <c r="AF65" s="213"/>
      <c r="AH65" s="18">
        <v>1030.8</v>
      </c>
      <c r="AI65" s="20">
        <f t="shared" si="88"/>
        <v>0.41231999999999996</v>
      </c>
      <c r="AK65" s="134">
        <v>1200</v>
      </c>
      <c r="AS65" s="18">
        <f t="shared" si="96"/>
        <v>1200</v>
      </c>
      <c r="AV65" s="18">
        <f t="shared" si="97"/>
        <v>1200</v>
      </c>
      <c r="AX65" s="18"/>
      <c r="AY65" s="18">
        <f t="shared" si="98"/>
        <v>1200</v>
      </c>
      <c r="BB65" s="18">
        <f t="shared" si="99"/>
        <v>1200</v>
      </c>
      <c r="BD65" s="18">
        <v>2000</v>
      </c>
      <c r="BE65" s="18">
        <f t="shared" si="100"/>
        <v>3200</v>
      </c>
      <c r="BG65" s="18">
        <v>-1000</v>
      </c>
      <c r="BH65" s="18">
        <f t="shared" si="101"/>
        <v>2200</v>
      </c>
      <c r="BJ65" s="18">
        <v>974</v>
      </c>
      <c r="BK65" s="279">
        <f t="shared" si="102"/>
        <v>0.44272727272727275</v>
      </c>
      <c r="BM65" s="292">
        <f>12*150</f>
        <v>1800</v>
      </c>
      <c r="BN65" s="279">
        <f t="shared" si="103"/>
        <v>1.8480492813141685</v>
      </c>
      <c r="BO65" s="279">
        <f t="shared" si="104"/>
        <v>0.81818181818181823</v>
      </c>
      <c r="BQ65" s="289"/>
      <c r="BR65" s="18">
        <f t="shared" si="105"/>
        <v>1800</v>
      </c>
      <c r="BT65" s="289"/>
      <c r="BU65" s="18">
        <f t="shared" si="106"/>
        <v>1800</v>
      </c>
      <c r="BW65" s="289"/>
      <c r="BX65" s="18">
        <f t="shared" si="107"/>
        <v>1800</v>
      </c>
      <c r="BZ65" s="289"/>
      <c r="CA65" s="18">
        <f t="shared" si="108"/>
        <v>1800</v>
      </c>
      <c r="CC65" s="289"/>
      <c r="CD65" s="18">
        <f t="shared" si="109"/>
        <v>1800</v>
      </c>
      <c r="CF65" s="289"/>
      <c r="CG65" s="18">
        <f t="shared" si="110"/>
        <v>1800</v>
      </c>
      <c r="CI65" s="289"/>
      <c r="CJ65" s="18">
        <f t="shared" si="111"/>
        <v>1800</v>
      </c>
      <c r="CM65" s="18">
        <f t="shared" si="112"/>
        <v>1800</v>
      </c>
      <c r="CP65" s="18">
        <f t="shared" si="113"/>
        <v>1800</v>
      </c>
      <c r="CS65" s="18">
        <f t="shared" si="114"/>
        <v>1800</v>
      </c>
      <c r="CU65" s="349">
        <v>200</v>
      </c>
      <c r="CV65" s="18">
        <f t="shared" si="115"/>
        <v>2000</v>
      </c>
      <c r="CX65" s="349"/>
      <c r="CY65" s="18">
        <f t="shared" si="116"/>
        <v>2000</v>
      </c>
      <c r="DA65" s="289">
        <v>1930.05</v>
      </c>
      <c r="DC65" s="289">
        <v>2000</v>
      </c>
    </row>
    <row r="66" spans="1:107" outlineLevel="1">
      <c r="A66">
        <v>3314</v>
      </c>
      <c r="B66" s="222" t="s">
        <v>395</v>
      </c>
      <c r="C66" s="4" t="s">
        <v>396</v>
      </c>
      <c r="I66" s="40"/>
      <c r="J66" s="17"/>
      <c r="M66" s="20"/>
      <c r="N66" s="20"/>
      <c r="U66" s="19"/>
      <c r="Y66" s="134"/>
      <c r="AB66" s="216"/>
      <c r="AC66" s="219"/>
      <c r="AD66" s="219"/>
      <c r="AE66" s="134">
        <v>1700</v>
      </c>
      <c r="AF66" s="213"/>
      <c r="AH66" s="18">
        <v>1694</v>
      </c>
      <c r="AI66" s="20">
        <f t="shared" si="88"/>
        <v>0.99647058823529411</v>
      </c>
      <c r="AK66" s="134">
        <v>1700</v>
      </c>
      <c r="AS66" s="18">
        <f t="shared" si="96"/>
        <v>1700</v>
      </c>
      <c r="AV66" s="18">
        <f t="shared" si="97"/>
        <v>1700</v>
      </c>
      <c r="AX66" s="18"/>
      <c r="AY66" s="18">
        <f t="shared" si="98"/>
        <v>1700</v>
      </c>
      <c r="BB66" s="18">
        <f t="shared" si="99"/>
        <v>1700</v>
      </c>
      <c r="BD66" s="18"/>
      <c r="BE66" s="18">
        <f t="shared" si="100"/>
        <v>1700</v>
      </c>
      <c r="BG66" s="18"/>
      <c r="BH66" s="18">
        <f t="shared" si="101"/>
        <v>1700</v>
      </c>
      <c r="BJ66" s="18">
        <v>1694</v>
      </c>
      <c r="BK66" s="279">
        <f t="shared" si="102"/>
        <v>0.99647058823529411</v>
      </c>
      <c r="BM66" s="289">
        <v>1700</v>
      </c>
      <c r="BN66" s="279">
        <f t="shared" si="103"/>
        <v>1.0035419126328218</v>
      </c>
      <c r="BO66" s="279">
        <f t="shared" si="104"/>
        <v>1</v>
      </c>
      <c r="BQ66" s="289"/>
      <c r="BR66" s="18">
        <f t="shared" si="105"/>
        <v>1700</v>
      </c>
      <c r="BT66" s="289"/>
      <c r="BU66" s="18">
        <f t="shared" si="106"/>
        <v>1700</v>
      </c>
      <c r="BW66" s="289"/>
      <c r="BX66" s="18">
        <f t="shared" si="107"/>
        <v>1700</v>
      </c>
      <c r="BZ66" s="289"/>
      <c r="CA66" s="18">
        <f t="shared" si="108"/>
        <v>1700</v>
      </c>
      <c r="CC66" s="289"/>
      <c r="CD66" s="18">
        <f t="shared" si="109"/>
        <v>1700</v>
      </c>
      <c r="CF66" s="289"/>
      <c r="CG66" s="18">
        <f t="shared" si="110"/>
        <v>1700</v>
      </c>
      <c r="CI66" s="289"/>
      <c r="CJ66" s="18">
        <f t="shared" si="111"/>
        <v>1700</v>
      </c>
      <c r="CM66" s="18">
        <f t="shared" si="112"/>
        <v>1700</v>
      </c>
      <c r="CP66" s="18">
        <f t="shared" si="113"/>
        <v>1700</v>
      </c>
      <c r="CS66" s="18">
        <f t="shared" si="114"/>
        <v>1700</v>
      </c>
      <c r="CV66" s="18">
        <f t="shared" si="115"/>
        <v>1700</v>
      </c>
      <c r="CY66" s="18">
        <f t="shared" si="116"/>
        <v>1700</v>
      </c>
      <c r="DA66" s="289">
        <v>1694</v>
      </c>
      <c r="DC66" s="289">
        <v>1700</v>
      </c>
    </row>
    <row r="67" spans="1:107" outlineLevel="1">
      <c r="A67">
        <v>3314</v>
      </c>
      <c r="B67" s="14" t="s">
        <v>117</v>
      </c>
      <c r="C67" s="4" t="s">
        <v>118</v>
      </c>
      <c r="I67" s="40"/>
      <c r="J67" s="17"/>
      <c r="L67" s="134">
        <v>1000</v>
      </c>
      <c r="M67" s="20" t="e">
        <f t="shared" si="92"/>
        <v>#DIV/0!</v>
      </c>
      <c r="N67" s="20" t="e">
        <f t="shared" si="93"/>
        <v>#DIV/0!</v>
      </c>
      <c r="Q67" s="134">
        <v>1000</v>
      </c>
      <c r="R67" s="18">
        <v>0</v>
      </c>
      <c r="S67" s="134">
        <v>4000</v>
      </c>
      <c r="T67" s="18">
        <f t="shared" si="94"/>
        <v>3000</v>
      </c>
      <c r="U67" s="19">
        <f t="shared" si="87"/>
        <v>3</v>
      </c>
      <c r="Y67" s="134">
        <v>4000</v>
      </c>
      <c r="AA67" s="134">
        <v>0</v>
      </c>
      <c r="AB67" s="216">
        <f t="shared" si="117"/>
        <v>-4000</v>
      </c>
      <c r="AC67" s="219">
        <f t="shared" si="95"/>
        <v>-4000</v>
      </c>
      <c r="AD67" s="219"/>
      <c r="AE67" s="134">
        <v>0</v>
      </c>
      <c r="AF67" s="213"/>
      <c r="AH67" s="18">
        <v>0</v>
      </c>
      <c r="AI67" s="20"/>
      <c r="AK67" s="134">
        <v>1000</v>
      </c>
      <c r="AS67" s="18">
        <f t="shared" si="96"/>
        <v>1000</v>
      </c>
      <c r="AV67" s="18">
        <f t="shared" si="97"/>
        <v>1000</v>
      </c>
      <c r="AX67" s="18"/>
      <c r="AY67" s="18">
        <f t="shared" si="98"/>
        <v>1000</v>
      </c>
      <c r="BB67" s="18">
        <f t="shared" si="99"/>
        <v>1000</v>
      </c>
      <c r="BD67" s="18">
        <v>-1000</v>
      </c>
      <c r="BE67" s="18">
        <f t="shared" si="100"/>
        <v>0</v>
      </c>
      <c r="BG67" s="18"/>
      <c r="BH67" s="18">
        <f t="shared" si="101"/>
        <v>0</v>
      </c>
      <c r="BJ67" s="18">
        <v>0</v>
      </c>
      <c r="BK67" s="279" t="e">
        <f t="shared" si="102"/>
        <v>#DIV/0!</v>
      </c>
      <c r="BM67" s="289">
        <v>0</v>
      </c>
      <c r="BN67" s="279" t="e">
        <f t="shared" si="103"/>
        <v>#DIV/0!</v>
      </c>
      <c r="BO67" s="279" t="e">
        <f t="shared" si="104"/>
        <v>#DIV/0!</v>
      </c>
      <c r="BQ67" s="289"/>
      <c r="BR67" s="18">
        <f t="shared" si="105"/>
        <v>0</v>
      </c>
      <c r="BT67" s="289"/>
      <c r="BU67" s="18">
        <f t="shared" si="106"/>
        <v>0</v>
      </c>
      <c r="BW67" s="289"/>
      <c r="BX67" s="18">
        <f t="shared" si="107"/>
        <v>0</v>
      </c>
      <c r="BZ67" s="289"/>
      <c r="CA67" s="18">
        <f t="shared" si="108"/>
        <v>0</v>
      </c>
      <c r="CC67" s="289"/>
      <c r="CD67" s="18">
        <f t="shared" si="109"/>
        <v>0</v>
      </c>
      <c r="CF67" s="289"/>
      <c r="CG67" s="18">
        <f t="shared" si="110"/>
        <v>0</v>
      </c>
      <c r="CI67" s="289"/>
      <c r="CJ67" s="18">
        <f t="shared" si="111"/>
        <v>0</v>
      </c>
      <c r="CM67" s="18">
        <f t="shared" si="112"/>
        <v>0</v>
      </c>
      <c r="CP67" s="18">
        <f t="shared" si="113"/>
        <v>0</v>
      </c>
      <c r="CS67" s="18">
        <f t="shared" si="114"/>
        <v>0</v>
      </c>
      <c r="CV67" s="18">
        <f t="shared" si="115"/>
        <v>0</v>
      </c>
      <c r="CY67" s="18">
        <f t="shared" si="116"/>
        <v>0</v>
      </c>
      <c r="DA67" s="289">
        <v>0</v>
      </c>
      <c r="DC67" s="289">
        <v>0</v>
      </c>
    </row>
    <row r="68" spans="1:107" outlineLevel="1">
      <c r="A68" s="258">
        <v>3314</v>
      </c>
      <c r="B68" s="14" t="s">
        <v>119</v>
      </c>
      <c r="C68" s="4" t="s">
        <v>120</v>
      </c>
      <c r="I68" s="40"/>
      <c r="J68" s="17"/>
      <c r="K68" t="s">
        <v>336</v>
      </c>
      <c r="L68" s="134">
        <v>2000</v>
      </c>
      <c r="M68" s="20" t="e">
        <f t="shared" si="92"/>
        <v>#DIV/0!</v>
      </c>
      <c r="N68" s="20" t="e">
        <f t="shared" si="93"/>
        <v>#DIV/0!</v>
      </c>
      <c r="Q68" s="134">
        <v>2000</v>
      </c>
      <c r="R68" s="18">
        <v>484</v>
      </c>
      <c r="S68" s="134">
        <v>2000</v>
      </c>
      <c r="T68" s="18">
        <f t="shared" si="94"/>
        <v>0</v>
      </c>
      <c r="U68" s="19">
        <f t="shared" si="87"/>
        <v>0</v>
      </c>
      <c r="Y68" s="134">
        <v>2000</v>
      </c>
      <c r="AA68" s="134">
        <v>1000</v>
      </c>
      <c r="AB68" s="216">
        <f t="shared" si="117"/>
        <v>-1000</v>
      </c>
      <c r="AC68" s="219">
        <f t="shared" si="95"/>
        <v>-1000</v>
      </c>
      <c r="AD68" s="219"/>
      <c r="AE68" s="134">
        <v>2200</v>
      </c>
      <c r="AF68" s="213">
        <f>AE68-AA68</f>
        <v>1200</v>
      </c>
      <c r="AH68" s="18">
        <v>2134</v>
      </c>
      <c r="AI68" s="20">
        <f t="shared" si="88"/>
        <v>0.97</v>
      </c>
      <c r="AK68" s="134">
        <v>6000</v>
      </c>
      <c r="AS68" s="18">
        <f t="shared" si="96"/>
        <v>6000</v>
      </c>
      <c r="AV68" s="18">
        <f t="shared" si="97"/>
        <v>6000</v>
      </c>
      <c r="AX68" s="18"/>
      <c r="AY68" s="18">
        <f t="shared" si="98"/>
        <v>6000</v>
      </c>
      <c r="BB68" s="18">
        <f t="shared" si="99"/>
        <v>6000</v>
      </c>
      <c r="BD68" s="18"/>
      <c r="BE68" s="18">
        <f t="shared" si="100"/>
        <v>6000</v>
      </c>
      <c r="BG68" s="18">
        <v>500</v>
      </c>
      <c r="BH68" s="18">
        <f t="shared" si="101"/>
        <v>6500</v>
      </c>
      <c r="BJ68" s="18">
        <v>6450</v>
      </c>
      <c r="BK68" s="279">
        <f t="shared" si="102"/>
        <v>0.99230769230769234</v>
      </c>
      <c r="BM68" s="289">
        <v>1000</v>
      </c>
      <c r="BN68" s="279">
        <f t="shared" si="103"/>
        <v>0.15503875968992248</v>
      </c>
      <c r="BO68" s="279">
        <f t="shared" si="104"/>
        <v>0.15384615384615385</v>
      </c>
      <c r="BQ68" s="289"/>
      <c r="BR68" s="18">
        <f t="shared" si="105"/>
        <v>1000</v>
      </c>
      <c r="BT68" s="289"/>
      <c r="BU68" s="18">
        <f t="shared" si="106"/>
        <v>1000</v>
      </c>
      <c r="BW68" s="289"/>
      <c r="BX68" s="18">
        <f t="shared" si="107"/>
        <v>1000</v>
      </c>
      <c r="BZ68" s="289"/>
      <c r="CA68" s="18">
        <f t="shared" si="108"/>
        <v>1000</v>
      </c>
      <c r="CC68" s="289"/>
      <c r="CD68" s="18">
        <f t="shared" si="109"/>
        <v>1000</v>
      </c>
      <c r="CF68" s="289"/>
      <c r="CG68" s="18">
        <f t="shared" si="110"/>
        <v>1000</v>
      </c>
      <c r="CI68" s="289"/>
      <c r="CJ68" s="18">
        <f t="shared" si="111"/>
        <v>1000</v>
      </c>
      <c r="CM68" s="18">
        <f t="shared" si="112"/>
        <v>1000</v>
      </c>
      <c r="CP68" s="18">
        <f t="shared" si="113"/>
        <v>1000</v>
      </c>
      <c r="CS68" s="18">
        <f t="shared" si="114"/>
        <v>1000</v>
      </c>
      <c r="CU68" s="349">
        <v>-1000</v>
      </c>
      <c r="CV68" s="18">
        <f t="shared" si="115"/>
        <v>0</v>
      </c>
      <c r="CX68" s="349"/>
      <c r="CY68" s="18">
        <f t="shared" si="116"/>
        <v>0</v>
      </c>
      <c r="DA68" s="289">
        <v>0</v>
      </c>
      <c r="DC68" s="289">
        <v>0</v>
      </c>
    </row>
    <row r="69" spans="1:107" outlineLevel="1">
      <c r="A69">
        <v>3314</v>
      </c>
      <c r="B69" s="42" t="s">
        <v>150</v>
      </c>
      <c r="C69" s="41" t="s">
        <v>151</v>
      </c>
      <c r="I69" s="40"/>
      <c r="J69" s="17"/>
      <c r="L69" s="134">
        <v>1000</v>
      </c>
      <c r="M69" s="20" t="e">
        <f t="shared" si="92"/>
        <v>#DIV/0!</v>
      </c>
      <c r="N69" s="20" t="e">
        <f t="shared" si="93"/>
        <v>#DIV/0!</v>
      </c>
      <c r="Q69" s="134">
        <v>1000</v>
      </c>
      <c r="R69" s="18">
        <v>0</v>
      </c>
      <c r="S69" s="134">
        <v>0</v>
      </c>
      <c r="T69" s="18">
        <f t="shared" si="94"/>
        <v>-1000</v>
      </c>
      <c r="U69" s="19">
        <f t="shared" si="87"/>
        <v>-1</v>
      </c>
      <c r="Y69" s="134">
        <v>0</v>
      </c>
      <c r="AA69" s="134">
        <v>0</v>
      </c>
      <c r="AB69" s="216">
        <f t="shared" si="117"/>
        <v>0</v>
      </c>
      <c r="AC69" s="219">
        <f t="shared" si="95"/>
        <v>0</v>
      </c>
      <c r="AD69" s="219"/>
      <c r="AE69" s="134">
        <v>0</v>
      </c>
      <c r="AF69" s="213"/>
      <c r="AH69" s="18">
        <v>0</v>
      </c>
      <c r="AI69" s="20"/>
      <c r="AK69" s="134">
        <v>0</v>
      </c>
      <c r="AX69" s="18"/>
      <c r="BD69" s="18"/>
      <c r="BG69" s="18"/>
    </row>
    <row r="70" spans="1:107" ht="15.75" thickBot="1">
      <c r="A70" s="70" t="s">
        <v>326</v>
      </c>
      <c r="B70" s="71" t="s">
        <v>320</v>
      </c>
      <c r="C70" s="338" t="s">
        <v>325</v>
      </c>
      <c r="D70" s="73" t="e">
        <f>#REF!</f>
        <v>#REF!</v>
      </c>
      <c r="E70" s="74"/>
      <c r="F70" s="73" t="e">
        <f>#REF!</f>
        <v>#REF!</v>
      </c>
      <c r="G70" s="74"/>
      <c r="H70" s="73"/>
      <c r="I70" s="73" t="e">
        <f>#REF!</f>
        <v>#REF!</v>
      </c>
      <c r="J70" s="156" t="e">
        <f>I70/$I$304</f>
        <v>#REF!</v>
      </c>
      <c r="K70" s="76"/>
      <c r="L70" s="138">
        <f>SUM(L60:L69)</f>
        <v>47799.92</v>
      </c>
      <c r="M70" s="77" t="e">
        <f t="shared" ref="M70:M74" si="118">L70/F70-1</f>
        <v>#REF!</v>
      </c>
      <c r="N70" s="77" t="e">
        <f t="shared" ref="N70:N74" si="119">L70/I70-1</f>
        <v>#REF!</v>
      </c>
      <c r="O70" s="20">
        <f>L70/$L$304</f>
        <v>1.1090468883349771E-2</v>
      </c>
      <c r="P70" s="20"/>
      <c r="Q70" s="138">
        <f>SUM(Q60:Q69)</f>
        <v>46000</v>
      </c>
      <c r="R70" s="138">
        <f>SUM(R60:R69)</f>
        <v>14900</v>
      </c>
      <c r="S70" s="138">
        <f>SUM(S60:S69)</f>
        <v>41650</v>
      </c>
      <c r="T70" s="138">
        <f>SUM(T60:T69)</f>
        <v>-4350</v>
      </c>
      <c r="U70" s="175">
        <f t="shared" si="87"/>
        <v>-9.4565217391304301E-2</v>
      </c>
      <c r="Y70" s="138">
        <f>SUM(Y60:Y69)</f>
        <v>40150</v>
      </c>
      <c r="AA70" s="138">
        <f>SUM(AA60:AA69)</f>
        <v>35700</v>
      </c>
      <c r="AB70" s="138">
        <f>SUM(AB60:AB69)</f>
        <v>-4450</v>
      </c>
      <c r="AE70" s="138">
        <f>SUM(AE60:AE69)</f>
        <v>41100</v>
      </c>
      <c r="AF70" s="213"/>
      <c r="AH70" s="138">
        <f>SUM(AH60:AH69)</f>
        <v>36090.800000000003</v>
      </c>
      <c r="AI70" s="20">
        <f t="shared" si="88"/>
        <v>0.8781216545012166</v>
      </c>
      <c r="AK70" s="138">
        <f>SUM(AK60:AK69)</f>
        <v>49600</v>
      </c>
      <c r="AL70" s="229">
        <f t="shared" ref="AL70:AL71" si="120">AK70/L70</f>
        <v>1.0376586404328711</v>
      </c>
      <c r="AM70" s="20">
        <f t="shared" ref="AM70:AM71" si="121">AK70/AE70</f>
        <v>1.2068126520681266</v>
      </c>
      <c r="AN70" s="20">
        <f t="shared" ref="AN70:AN71" si="122">AK70/AH70</f>
        <v>1.3743114588759462</v>
      </c>
      <c r="AS70" s="138">
        <f>SUM(AS60:AS69)</f>
        <v>49600</v>
      </c>
      <c r="AU70" s="138">
        <f>SUM(AU60:AU69)</f>
        <v>0</v>
      </c>
      <c r="AV70" s="138">
        <f>SUM(AV60:AV69)</f>
        <v>49600</v>
      </c>
      <c r="AX70" s="138">
        <f>SUM(AX60:AX69)</f>
        <v>0</v>
      </c>
      <c r="AY70" s="138">
        <f>SUM(AY60:AY69)</f>
        <v>49600</v>
      </c>
      <c r="BA70" s="138">
        <f>SUM(BA60:BA69)</f>
        <v>0</v>
      </c>
      <c r="BB70" s="138">
        <f>SUM(BB60:BB69)</f>
        <v>49600</v>
      </c>
      <c r="BD70" s="138">
        <f>SUM(BD60:BD69)</f>
        <v>4000</v>
      </c>
      <c r="BE70" s="138">
        <f>SUM(BE60:BE69)</f>
        <v>53600</v>
      </c>
      <c r="BG70" s="138">
        <f>SUM(BG60:BG69)</f>
        <v>-1000</v>
      </c>
      <c r="BH70" s="138">
        <f>SUM(BH60:BH69)</f>
        <v>52600</v>
      </c>
      <c r="BJ70" s="138">
        <f>SUM(BJ60:BJ69)</f>
        <v>50636.35</v>
      </c>
      <c r="BK70" s="280">
        <f t="shared" ref="BK70:BK71" si="123">BJ70/BH70</f>
        <v>0.96266825095057029</v>
      </c>
      <c r="BM70" s="138">
        <f>SUM(BM60:BM69)</f>
        <v>95800</v>
      </c>
      <c r="BN70" s="280">
        <f t="shared" ref="BN70:BN71" si="124">BM70/BJ70</f>
        <v>1.8919215148801207</v>
      </c>
      <c r="BO70" s="280">
        <f t="shared" ref="BO70:BO71" si="125">BM70/BH70</f>
        <v>1.8212927756653992</v>
      </c>
      <c r="BQ70" s="138">
        <f>SUM(BQ60:BQ69)</f>
        <v>0</v>
      </c>
      <c r="BR70" s="138">
        <f>SUM(BR60:BR69)</f>
        <v>95800</v>
      </c>
      <c r="BT70" s="138">
        <f>SUM(BT60:BT69)</f>
        <v>0</v>
      </c>
      <c r="BU70" s="138">
        <f>SUM(BU60:BU69)</f>
        <v>95800</v>
      </c>
      <c r="BW70" s="138">
        <f>SUM(BW60:BW69)</f>
        <v>0</v>
      </c>
      <c r="BX70" s="138">
        <f>SUM(BX60:BX69)</f>
        <v>95800</v>
      </c>
      <c r="BZ70" s="138">
        <f>SUM(BZ60:BZ69)</f>
        <v>0</v>
      </c>
      <c r="CA70" s="138">
        <f>SUM(CA60:CA69)</f>
        <v>95800</v>
      </c>
      <c r="CC70" s="138">
        <f>SUM(CC60:CC69)</f>
        <v>0</v>
      </c>
      <c r="CD70" s="138">
        <f>SUM(CD60:CD69)</f>
        <v>95800</v>
      </c>
      <c r="CF70" s="138">
        <f>SUM(CF60:CF69)</f>
        <v>0</v>
      </c>
      <c r="CG70" s="138">
        <f>SUM(CG60:CG69)</f>
        <v>95800</v>
      </c>
      <c r="CI70" s="138">
        <f>SUM(CI60:CI69)</f>
        <v>0</v>
      </c>
      <c r="CJ70" s="138">
        <f>SUM(CJ60:CJ69)</f>
        <v>95800</v>
      </c>
      <c r="CL70" s="391">
        <f>SUM(CL60:CL69)</f>
        <v>0</v>
      </c>
      <c r="CM70" s="138">
        <f>SUM(CM60:CM69)</f>
        <v>95800</v>
      </c>
      <c r="CO70" s="138">
        <f>SUM(CO60:CO69)</f>
        <v>0</v>
      </c>
      <c r="CP70" s="138">
        <f>SUM(CP60:CP69)</f>
        <v>95800</v>
      </c>
      <c r="CR70" s="138">
        <f>SUM(CR60:CR69)</f>
        <v>0</v>
      </c>
      <c r="CS70" s="138">
        <f>SUM(CS60:CS69)</f>
        <v>95800</v>
      </c>
      <c r="CU70" s="138">
        <f>SUM(CU60:CU69)</f>
        <v>6200</v>
      </c>
      <c r="CV70" s="138">
        <f>SUM(CV60:CV69)</f>
        <v>102000</v>
      </c>
      <c r="CX70" s="138">
        <f>SUM(CX60:CX69)</f>
        <v>0</v>
      </c>
      <c r="CY70" s="138">
        <f>SUM(CY60:CY69)</f>
        <v>102000</v>
      </c>
      <c r="DA70" s="138">
        <f>SUM(DA60:DA69)</f>
        <v>101379.42</v>
      </c>
      <c r="DC70" s="138">
        <f>SUM(DC60:DC69)</f>
        <v>99300</v>
      </c>
    </row>
    <row r="71" spans="1:107" ht="16.5" thickTop="1" thickBot="1">
      <c r="A71" s="80" t="s">
        <v>326</v>
      </c>
      <c r="B71" s="81" t="s">
        <v>362</v>
      </c>
      <c r="C71" s="339" t="s">
        <v>334</v>
      </c>
      <c r="D71" s="82">
        <f>D68</f>
        <v>0</v>
      </c>
      <c r="E71" s="83"/>
      <c r="F71" s="82">
        <f>F68</f>
        <v>0</v>
      </c>
      <c r="G71" s="83"/>
      <c r="H71" s="82"/>
      <c r="I71" s="82">
        <f>I68</f>
        <v>0</v>
      </c>
      <c r="J71" s="84"/>
      <c r="K71" s="85"/>
      <c r="L71" s="139">
        <f>L68</f>
        <v>2000</v>
      </c>
      <c r="M71" s="86" t="e">
        <f t="shared" si="118"/>
        <v>#DIV/0!</v>
      </c>
      <c r="N71" s="86" t="e">
        <f t="shared" si="119"/>
        <v>#DIV/0!</v>
      </c>
      <c r="Q71" s="139">
        <f>Q68</f>
        <v>2000</v>
      </c>
      <c r="R71" s="139">
        <f>R68</f>
        <v>484</v>
      </c>
      <c r="S71" s="139">
        <f>S68</f>
        <v>2000</v>
      </c>
      <c r="T71" s="139">
        <f>T68</f>
        <v>0</v>
      </c>
      <c r="U71" s="175">
        <f t="shared" si="87"/>
        <v>0</v>
      </c>
      <c r="Y71" s="139">
        <f>Y68</f>
        <v>2000</v>
      </c>
      <c r="AA71" s="139">
        <f>AA68</f>
        <v>1000</v>
      </c>
      <c r="AB71" s="139">
        <f>AB68</f>
        <v>-1000</v>
      </c>
      <c r="AE71" s="139">
        <f>AE68</f>
        <v>2200</v>
      </c>
      <c r="AF71" s="213"/>
      <c r="AH71" s="139">
        <f>AH68</f>
        <v>2134</v>
      </c>
      <c r="AI71" s="20">
        <f t="shared" si="88"/>
        <v>0.97</v>
      </c>
      <c r="AK71" s="139">
        <f>AK68</f>
        <v>6000</v>
      </c>
      <c r="AL71" s="229">
        <f t="shared" si="120"/>
        <v>3</v>
      </c>
      <c r="AM71" s="20">
        <f t="shared" si="121"/>
        <v>2.7272727272727271</v>
      </c>
      <c r="AN71" s="20">
        <f t="shared" si="122"/>
        <v>2.8116213683223994</v>
      </c>
      <c r="AS71" s="139">
        <f>AS68</f>
        <v>6000</v>
      </c>
      <c r="AU71" s="139">
        <f>AU68</f>
        <v>0</v>
      </c>
      <c r="AV71" s="139">
        <f>AV68</f>
        <v>6000</v>
      </c>
      <c r="AX71" s="139">
        <f>AX68</f>
        <v>0</v>
      </c>
      <c r="AY71" s="139">
        <f>AY68</f>
        <v>6000</v>
      </c>
      <c r="BA71" s="139">
        <f>BA68</f>
        <v>0</v>
      </c>
      <c r="BB71" s="139">
        <f>BB68</f>
        <v>6000</v>
      </c>
      <c r="BD71" s="139">
        <f>BD68</f>
        <v>0</v>
      </c>
      <c r="BE71" s="139">
        <f>BE68</f>
        <v>6000</v>
      </c>
      <c r="BG71" s="139">
        <f>BG68</f>
        <v>500</v>
      </c>
      <c r="BH71" s="139">
        <f>BH68</f>
        <v>6500</v>
      </c>
      <c r="BJ71" s="139">
        <f>BJ68</f>
        <v>6450</v>
      </c>
      <c r="BK71" s="280">
        <f t="shared" si="123"/>
        <v>0.99230769230769234</v>
      </c>
      <c r="BM71" s="139">
        <f>BM68</f>
        <v>1000</v>
      </c>
      <c r="BN71" s="280">
        <f t="shared" si="124"/>
        <v>0.15503875968992248</v>
      </c>
      <c r="BO71" s="280">
        <f t="shared" si="125"/>
        <v>0.15384615384615385</v>
      </c>
      <c r="BQ71" s="139">
        <f>BQ68</f>
        <v>0</v>
      </c>
      <c r="BR71" s="139">
        <f>BR68</f>
        <v>1000</v>
      </c>
      <c r="BT71" s="139">
        <f>BT68</f>
        <v>0</v>
      </c>
      <c r="BU71" s="139">
        <f>BU68</f>
        <v>1000</v>
      </c>
      <c r="BW71" s="139">
        <f>BW68</f>
        <v>0</v>
      </c>
      <c r="BX71" s="139">
        <f>BX68</f>
        <v>1000</v>
      </c>
      <c r="BZ71" s="139">
        <f>BZ68</f>
        <v>0</v>
      </c>
      <c r="CA71" s="139">
        <f>CA68</f>
        <v>1000</v>
      </c>
      <c r="CC71" s="139">
        <f>CC68</f>
        <v>0</v>
      </c>
      <c r="CD71" s="139">
        <f>CD68</f>
        <v>1000</v>
      </c>
      <c r="CF71" s="139">
        <f>CF68</f>
        <v>0</v>
      </c>
      <c r="CG71" s="139">
        <f>CG68</f>
        <v>1000</v>
      </c>
      <c r="CI71" s="139">
        <f>CI68</f>
        <v>0</v>
      </c>
      <c r="CJ71" s="139">
        <f>CJ68</f>
        <v>1000</v>
      </c>
      <c r="CL71" s="391">
        <f>CL68</f>
        <v>0</v>
      </c>
      <c r="CM71" s="139">
        <f>CM68</f>
        <v>1000</v>
      </c>
      <c r="CO71" s="139">
        <f>CO68</f>
        <v>0</v>
      </c>
      <c r="CP71" s="139">
        <f>CP68</f>
        <v>1000</v>
      </c>
      <c r="CR71" s="139">
        <f>CR68</f>
        <v>0</v>
      </c>
      <c r="CS71" s="139">
        <f>CS68</f>
        <v>1000</v>
      </c>
      <c r="CU71" s="139">
        <f>CU68</f>
        <v>-1000</v>
      </c>
      <c r="CV71" s="139">
        <f>CV68</f>
        <v>0</v>
      </c>
      <c r="CX71" s="139">
        <f>CX68</f>
        <v>0</v>
      </c>
      <c r="CY71" s="139">
        <f>CY68</f>
        <v>0</v>
      </c>
      <c r="DA71" s="139">
        <f>DA68</f>
        <v>0</v>
      </c>
      <c r="DC71" s="139">
        <f>DC68</f>
        <v>0</v>
      </c>
    </row>
    <row r="72" spans="1:107" ht="15.75" outlineLevel="1" thickTop="1">
      <c r="A72">
        <v>3330</v>
      </c>
      <c r="B72" s="14" t="s">
        <v>152</v>
      </c>
      <c r="C72" s="4" t="s">
        <v>153</v>
      </c>
      <c r="I72" s="40"/>
      <c r="J72" s="17"/>
      <c r="K72" t="s">
        <v>336</v>
      </c>
      <c r="L72" s="134">
        <v>1000</v>
      </c>
      <c r="M72" s="20" t="e">
        <f t="shared" si="118"/>
        <v>#DIV/0!</v>
      </c>
      <c r="N72" s="20" t="e">
        <f t="shared" si="119"/>
        <v>#DIV/0!</v>
      </c>
      <c r="Q72" s="134">
        <v>1000</v>
      </c>
      <c r="R72" s="18">
        <v>0</v>
      </c>
      <c r="S72" s="134">
        <v>0</v>
      </c>
      <c r="T72" s="18">
        <f>S72-Q72</f>
        <v>-1000</v>
      </c>
      <c r="U72" s="19">
        <f t="shared" si="87"/>
        <v>-1</v>
      </c>
      <c r="Y72" s="134">
        <v>0</v>
      </c>
      <c r="AF72" s="213"/>
      <c r="AH72" s="18"/>
      <c r="AX72" s="18"/>
      <c r="BD72" s="18"/>
      <c r="BG72" s="18"/>
    </row>
    <row r="73" spans="1:107" outlineLevel="1">
      <c r="A73">
        <v>3330</v>
      </c>
      <c r="B73" s="14" t="s">
        <v>165</v>
      </c>
      <c r="C73" s="4" t="s">
        <v>166</v>
      </c>
      <c r="I73" s="40"/>
      <c r="J73" s="17"/>
      <c r="K73" t="s">
        <v>336</v>
      </c>
      <c r="L73" s="134">
        <v>10000</v>
      </c>
      <c r="M73" s="20" t="e">
        <f t="shared" si="118"/>
        <v>#DIV/0!</v>
      </c>
      <c r="N73" s="20" t="e">
        <f t="shared" si="119"/>
        <v>#DIV/0!</v>
      </c>
      <c r="Q73" s="134">
        <v>10000</v>
      </c>
      <c r="R73" s="18">
        <v>10000</v>
      </c>
      <c r="S73" s="134">
        <v>10000</v>
      </c>
      <c r="T73" s="18">
        <f>S73-Q73</f>
        <v>0</v>
      </c>
      <c r="U73" s="19">
        <f t="shared" si="87"/>
        <v>0</v>
      </c>
      <c r="Y73" s="134">
        <v>10000</v>
      </c>
      <c r="AA73" s="134">
        <v>10000</v>
      </c>
      <c r="AB73" s="216">
        <f>AA73-Y73</f>
        <v>0</v>
      </c>
      <c r="AC73" s="219">
        <f t="shared" ref="AC73" si="126">AA73-Y73</f>
        <v>0</v>
      </c>
      <c r="AD73" s="219"/>
      <c r="AE73" s="134">
        <v>10000</v>
      </c>
      <c r="AF73" s="213"/>
      <c r="AH73" s="18">
        <v>10000</v>
      </c>
      <c r="AI73" s="20">
        <f t="shared" si="88"/>
        <v>1</v>
      </c>
      <c r="AK73" s="134">
        <v>10000</v>
      </c>
      <c r="AS73" s="18">
        <f t="shared" ref="AS73" si="127">AR73+AK73</f>
        <v>10000</v>
      </c>
      <c r="AV73" s="18">
        <f t="shared" ref="AV73" si="128">AS73+AU73</f>
        <v>10000</v>
      </c>
      <c r="AX73" s="18"/>
      <c r="AY73" s="18">
        <f t="shared" ref="AY73" si="129">AV73+AX73</f>
        <v>10000</v>
      </c>
      <c r="BB73" s="18">
        <f t="shared" ref="BB73" si="130">AY73+BA73</f>
        <v>10000</v>
      </c>
      <c r="BD73" s="18"/>
      <c r="BE73" s="18">
        <f t="shared" ref="BE73" si="131">BB73+BD73</f>
        <v>10000</v>
      </c>
      <c r="BG73" s="18"/>
      <c r="BH73" s="18">
        <f t="shared" ref="BH73" si="132">BE73+BG73</f>
        <v>10000</v>
      </c>
      <c r="BJ73" s="18">
        <v>10000</v>
      </c>
      <c r="BK73" s="279">
        <f t="shared" ref="BK73:BK74" si="133">BJ73/BH73</f>
        <v>1</v>
      </c>
      <c r="BM73" s="289">
        <v>10000</v>
      </c>
      <c r="BN73" s="279">
        <f t="shared" ref="BN73:BN74" si="134">BM73/BJ73</f>
        <v>1</v>
      </c>
      <c r="BO73" s="279">
        <f t="shared" ref="BO73:BO74" si="135">BM73/BH73</f>
        <v>1</v>
      </c>
      <c r="BQ73" s="289"/>
      <c r="BR73" s="18">
        <f>BM73+BQ73</f>
        <v>10000</v>
      </c>
      <c r="BT73" s="289"/>
      <c r="BU73" s="18">
        <f>BR73+BT73</f>
        <v>10000</v>
      </c>
      <c r="BW73" s="289"/>
      <c r="BX73" s="18">
        <f>BU73+BW73</f>
        <v>10000</v>
      </c>
      <c r="BZ73" s="289"/>
      <c r="CA73" s="18">
        <f>BX73+BZ73</f>
        <v>10000</v>
      </c>
      <c r="CC73" s="289"/>
      <c r="CD73" s="18">
        <f>CA73+CC73</f>
        <v>10000</v>
      </c>
      <c r="CF73" s="289"/>
      <c r="CG73" s="18">
        <f>CD73+CF73</f>
        <v>10000</v>
      </c>
      <c r="CI73" s="289"/>
      <c r="CJ73" s="18">
        <f>CG73+CI73</f>
        <v>10000</v>
      </c>
      <c r="CM73" s="18">
        <f>CJ73+CL73</f>
        <v>10000</v>
      </c>
      <c r="CP73" s="18">
        <f>CM73+CO73</f>
        <v>10000</v>
      </c>
      <c r="CS73" s="18">
        <f>CP73+CR73</f>
        <v>10000</v>
      </c>
      <c r="CV73" s="18">
        <f>CS73+CU73</f>
        <v>10000</v>
      </c>
      <c r="CY73" s="18">
        <f>CV73+CX73</f>
        <v>10000</v>
      </c>
      <c r="DA73" s="289">
        <v>10000</v>
      </c>
      <c r="DC73" s="289">
        <v>10000</v>
      </c>
    </row>
    <row r="74" spans="1:107" ht="15.75" thickBot="1">
      <c r="A74" s="70" t="s">
        <v>327</v>
      </c>
      <c r="B74" s="71" t="s">
        <v>320</v>
      </c>
      <c r="C74" s="338" t="s">
        <v>328</v>
      </c>
      <c r="D74" s="73" t="e">
        <f>#REF!</f>
        <v>#REF!</v>
      </c>
      <c r="E74" s="74"/>
      <c r="F74" s="73" t="e">
        <f>#REF!</f>
        <v>#REF!</v>
      </c>
      <c r="G74" s="74"/>
      <c r="H74" s="73"/>
      <c r="I74" s="73" t="e">
        <f>#REF!</f>
        <v>#REF!</v>
      </c>
      <c r="J74" s="156" t="e">
        <f>I74/$I$304</f>
        <v>#REF!</v>
      </c>
      <c r="K74" s="76"/>
      <c r="L74" s="138">
        <f>SUM(L72:L73)</f>
        <v>11000</v>
      </c>
      <c r="M74" s="77" t="e">
        <f t="shared" si="118"/>
        <v>#REF!</v>
      </c>
      <c r="N74" s="77" t="e">
        <f t="shared" si="119"/>
        <v>#REF!</v>
      </c>
      <c r="O74" s="20">
        <f>L74/$L$304</f>
        <v>2.5522042237068072E-3</v>
      </c>
      <c r="P74" s="20"/>
      <c r="Q74" s="138">
        <f>SUM(Q72:Q73)</f>
        <v>11000</v>
      </c>
      <c r="R74" s="138">
        <f>SUM(R72:R73)</f>
        <v>10000</v>
      </c>
      <c r="S74" s="138">
        <f>SUM(S72:S73)</f>
        <v>10000</v>
      </c>
      <c r="T74" s="138">
        <f>SUM(T72:T73)</f>
        <v>-1000</v>
      </c>
      <c r="U74" s="175">
        <f t="shared" si="87"/>
        <v>-9.0909090909090939E-2</v>
      </c>
      <c r="Y74" s="138">
        <f>SUM(Y72:Y73)</f>
        <v>10000</v>
      </c>
      <c r="AA74" s="138">
        <f>SUM(AA72:AA73)</f>
        <v>10000</v>
      </c>
      <c r="AB74" s="138">
        <f>SUM(AB72:AB73)</f>
        <v>0</v>
      </c>
      <c r="AE74" s="138">
        <f>SUM(AE72:AE73)</f>
        <v>10000</v>
      </c>
      <c r="AF74" s="213"/>
      <c r="AH74" s="138">
        <f>SUM(AH72:AH73)</f>
        <v>10000</v>
      </c>
      <c r="AI74" s="20">
        <f t="shared" si="88"/>
        <v>1</v>
      </c>
      <c r="AK74" s="138">
        <f>SUM(AK72:AK73)</f>
        <v>10000</v>
      </c>
      <c r="AL74" s="229">
        <f>AK74/L74</f>
        <v>0.90909090909090906</v>
      </c>
      <c r="AM74" s="20">
        <f>AK74/AE74</f>
        <v>1</v>
      </c>
      <c r="AN74" s="20">
        <f>AK74/AH74</f>
        <v>1</v>
      </c>
      <c r="AS74" s="138">
        <f>SUM(AS72:AS73)</f>
        <v>10000</v>
      </c>
      <c r="AU74" s="138">
        <f>SUM(AU72:AU73)</f>
        <v>0</v>
      </c>
      <c r="AV74" s="138">
        <f>SUM(AV72:AV73)</f>
        <v>10000</v>
      </c>
      <c r="AX74" s="138">
        <f>SUM(AX72:AX73)</f>
        <v>0</v>
      </c>
      <c r="AY74" s="138">
        <f>SUM(AY72:AY73)</f>
        <v>10000</v>
      </c>
      <c r="BA74" s="138">
        <f>SUM(BA72:BA73)</f>
        <v>0</v>
      </c>
      <c r="BB74" s="138">
        <f>SUM(BB72:BB73)</f>
        <v>10000</v>
      </c>
      <c r="BD74" s="138">
        <f>SUM(BD72:BD73)</f>
        <v>0</v>
      </c>
      <c r="BE74" s="138">
        <f>SUM(BE72:BE73)</f>
        <v>10000</v>
      </c>
      <c r="BG74" s="138">
        <f>SUM(BG72:BG73)</f>
        <v>0</v>
      </c>
      <c r="BH74" s="138">
        <f>SUM(BH72:BH73)</f>
        <v>10000</v>
      </c>
      <c r="BJ74" s="138">
        <f>SUM(BJ72:BJ73)</f>
        <v>10000</v>
      </c>
      <c r="BK74" s="280">
        <f t="shared" si="133"/>
        <v>1</v>
      </c>
      <c r="BM74" s="138">
        <f>SUM(BM72:BM73)</f>
        <v>10000</v>
      </c>
      <c r="BN74" s="280">
        <f t="shared" si="134"/>
        <v>1</v>
      </c>
      <c r="BO74" s="280">
        <f t="shared" si="135"/>
        <v>1</v>
      </c>
      <c r="BQ74" s="138">
        <f>SUM(BQ72:BQ73)</f>
        <v>0</v>
      </c>
      <c r="BR74" s="138">
        <f>SUM(BR72:BR73)</f>
        <v>10000</v>
      </c>
      <c r="BT74" s="138">
        <f>SUM(BT72:BT73)</f>
        <v>0</v>
      </c>
      <c r="BU74" s="138">
        <f>SUM(BU72:BU73)</f>
        <v>10000</v>
      </c>
      <c r="BW74" s="138">
        <f>SUM(BW72:BW73)</f>
        <v>0</v>
      </c>
      <c r="BX74" s="138">
        <f>SUM(BX72:BX73)</f>
        <v>10000</v>
      </c>
      <c r="BZ74" s="138">
        <f>SUM(BZ72:BZ73)</f>
        <v>0</v>
      </c>
      <c r="CA74" s="138">
        <f>SUM(CA72:CA73)</f>
        <v>10000</v>
      </c>
      <c r="CC74" s="138">
        <f>SUM(CC72:CC73)</f>
        <v>0</v>
      </c>
      <c r="CD74" s="138">
        <f>SUM(CD72:CD73)</f>
        <v>10000</v>
      </c>
      <c r="CF74" s="138">
        <f>SUM(CF72:CF73)</f>
        <v>0</v>
      </c>
      <c r="CG74" s="138">
        <f>SUM(CG72:CG73)</f>
        <v>10000</v>
      </c>
      <c r="CI74" s="138">
        <f>SUM(CI72:CI73)</f>
        <v>0</v>
      </c>
      <c r="CJ74" s="138">
        <f>SUM(CJ72:CJ73)</f>
        <v>10000</v>
      </c>
      <c r="CL74" s="391">
        <f>SUM(CL72:CL73)</f>
        <v>0</v>
      </c>
      <c r="CM74" s="138">
        <f>SUM(CM72:CM73)</f>
        <v>10000</v>
      </c>
      <c r="CO74" s="138">
        <f>SUM(CO72:CO73)</f>
        <v>0</v>
      </c>
      <c r="CP74" s="138">
        <f>SUM(CP72:CP73)</f>
        <v>10000</v>
      </c>
      <c r="CR74" s="138">
        <f>SUM(CR72:CR73)</f>
        <v>0</v>
      </c>
      <c r="CS74" s="138">
        <f>SUM(CS72:CS73)</f>
        <v>10000</v>
      </c>
      <c r="CU74" s="138">
        <f>SUM(CU72:CU73)</f>
        <v>0</v>
      </c>
      <c r="CV74" s="138">
        <f>SUM(CV72:CV73)</f>
        <v>10000</v>
      </c>
      <c r="CX74" s="138">
        <f>SUM(CX72:CX73)</f>
        <v>0</v>
      </c>
      <c r="CY74" s="138">
        <f>SUM(CY72:CY73)</f>
        <v>10000</v>
      </c>
      <c r="DA74" s="138">
        <f>SUM(DA72:DA73)</f>
        <v>10000</v>
      </c>
      <c r="DC74" s="138">
        <f>SUM(DC72:DC73)</f>
        <v>10000</v>
      </c>
    </row>
    <row r="75" spans="1:107" ht="15.75" outlineLevel="1" thickTop="1">
      <c r="A75" s="66" t="s">
        <v>167</v>
      </c>
      <c r="B75" s="67" t="s">
        <v>115</v>
      </c>
      <c r="C75" s="469" t="s">
        <v>494</v>
      </c>
      <c r="D75" s="469"/>
      <c r="E75" s="469"/>
      <c r="F75" s="469"/>
      <c r="G75" s="469"/>
      <c r="H75" s="469"/>
      <c r="I75" s="469"/>
      <c r="J75" s="469"/>
      <c r="K75" s="469"/>
      <c r="L75" s="469"/>
      <c r="M75" s="469"/>
      <c r="N75" s="469"/>
      <c r="O75" s="469"/>
      <c r="P75" s="469"/>
      <c r="Q75" s="469"/>
      <c r="AF75" s="213"/>
      <c r="AH75" s="18"/>
      <c r="AX75" s="18"/>
      <c r="BA75" s="269">
        <v>5000</v>
      </c>
      <c r="BB75" s="18">
        <f t="shared" ref="BB75:BB78" si="136">AY75+BA75</f>
        <v>5000</v>
      </c>
      <c r="BD75" s="18"/>
      <c r="BE75" s="18">
        <f t="shared" ref="BE75:BE78" si="137">BB75+BD75</f>
        <v>5000</v>
      </c>
      <c r="BG75" s="18"/>
      <c r="BH75" s="18">
        <f t="shared" ref="BH75:BH78" si="138">BE75+BG75</f>
        <v>5000</v>
      </c>
      <c r="BJ75" s="18">
        <v>3315</v>
      </c>
      <c r="BK75" s="279">
        <f t="shared" ref="BK75:BK78" si="139">BJ75/BH75</f>
        <v>0.66300000000000003</v>
      </c>
      <c r="BM75" s="289">
        <v>3000</v>
      </c>
      <c r="BN75" s="279">
        <f t="shared" ref="BN75:BN78" si="140">BM75/BJ75</f>
        <v>0.90497737556561086</v>
      </c>
      <c r="BO75" s="279">
        <f t="shared" ref="BO75:BO78" si="141">BM75/BH75</f>
        <v>0.6</v>
      </c>
      <c r="BQ75" s="289"/>
      <c r="BR75" s="18">
        <f t="shared" ref="BR75:BR78" si="142">BM75+BQ75</f>
        <v>3000</v>
      </c>
      <c r="BT75" s="289"/>
      <c r="BU75" s="18">
        <f>BR75+BT75</f>
        <v>3000</v>
      </c>
      <c r="BW75" s="289"/>
      <c r="BX75" s="18">
        <f>BU75+BW75</f>
        <v>3000</v>
      </c>
      <c r="BZ75" s="289"/>
      <c r="CA75" s="18">
        <f t="shared" ref="CA75:CA80" si="143">BX75+BZ75</f>
        <v>3000</v>
      </c>
      <c r="CC75" s="289"/>
      <c r="CD75" s="18">
        <f t="shared" ref="CD75:CD80" si="144">CA75+CC75</f>
        <v>3000</v>
      </c>
      <c r="CF75" s="289"/>
      <c r="CG75" s="18">
        <f t="shared" ref="CG75:CG80" si="145">CD75+CF75</f>
        <v>3000</v>
      </c>
      <c r="CI75" s="289"/>
      <c r="CJ75" s="18">
        <f t="shared" ref="CJ75:CJ80" si="146">CG75+CI75</f>
        <v>3000</v>
      </c>
      <c r="CM75" s="18">
        <f t="shared" ref="CM75:CM80" si="147">CJ75+CL75</f>
        <v>3000</v>
      </c>
      <c r="CO75" s="327"/>
      <c r="CP75" s="18">
        <f t="shared" ref="CP75:CP80" si="148">CM75+CO75</f>
        <v>3000</v>
      </c>
      <c r="CR75" s="327"/>
      <c r="CS75" s="18">
        <f t="shared" ref="CS75:CS80" si="149">CP75+CR75</f>
        <v>3000</v>
      </c>
      <c r="CU75" s="349">
        <v>-3000</v>
      </c>
      <c r="CV75" s="18">
        <f t="shared" ref="CV75:CV80" si="150">CS75+CU75</f>
        <v>0</v>
      </c>
      <c r="CX75" s="349"/>
      <c r="CY75" s="18">
        <f t="shared" ref="CY75:CY80" si="151">CV75+CX75</f>
        <v>0</v>
      </c>
      <c r="DA75" s="327"/>
      <c r="DC75" s="327"/>
    </row>
    <row r="76" spans="1:107" outlineLevel="1" collapsed="1">
      <c r="A76" s="14" t="s">
        <v>167</v>
      </c>
      <c r="B76" s="14" t="s">
        <v>148</v>
      </c>
      <c r="C76" s="4" t="s">
        <v>149</v>
      </c>
      <c r="D76" s="52">
        <v>5000</v>
      </c>
      <c r="E76" s="37">
        <v>187.34</v>
      </c>
      <c r="F76" s="52">
        <v>17000</v>
      </c>
      <c r="G76" s="37">
        <v>55.1</v>
      </c>
      <c r="H76" s="56">
        <v>9367</v>
      </c>
      <c r="I76" s="40">
        <v>9367</v>
      </c>
      <c r="J76" s="17"/>
      <c r="L76" s="134">
        <v>10000</v>
      </c>
      <c r="M76" s="20">
        <f t="shared" ref="M76" si="152">L76/F76-1</f>
        <v>-0.41176470588235292</v>
      </c>
      <c r="N76" s="20">
        <f t="shared" ref="N76" si="153">L76/I76-1</f>
        <v>6.7577666275221437E-2</v>
      </c>
      <c r="Q76" s="134">
        <v>10000</v>
      </c>
      <c r="R76" s="18">
        <v>6942</v>
      </c>
      <c r="S76" s="134">
        <v>9000</v>
      </c>
      <c r="T76" s="18">
        <f>S76-Q76</f>
        <v>-1000</v>
      </c>
      <c r="U76" s="19">
        <f>S76/Q76-1</f>
        <v>-9.9999999999999978E-2</v>
      </c>
      <c r="Y76" s="134">
        <v>14000</v>
      </c>
      <c r="AA76" s="134">
        <v>14000</v>
      </c>
      <c r="AB76" s="216">
        <f t="shared" ref="AB76:AB80" si="154">AA76-Y76</f>
        <v>0</v>
      </c>
      <c r="AC76" s="219">
        <f t="shared" ref="AC76:AC80" si="155">AA76-Y76</f>
        <v>0</v>
      </c>
      <c r="AD76" s="219"/>
      <c r="AE76" s="134">
        <v>14000</v>
      </c>
      <c r="AF76" s="213"/>
      <c r="AH76" s="18">
        <v>12055.81</v>
      </c>
      <c r="AI76" s="20">
        <f t="shared" ref="AI76:AI78" si="156">AH76/AE76</f>
        <v>0.86112928571428571</v>
      </c>
      <c r="AK76" s="134">
        <v>10000</v>
      </c>
      <c r="AS76" s="18">
        <f t="shared" ref="AS76:AS80" si="157">AR76+AK76</f>
        <v>10000</v>
      </c>
      <c r="AV76" s="18">
        <f t="shared" ref="AV76:AV78" si="158">AS76+AU76</f>
        <v>10000</v>
      </c>
      <c r="AX76" s="18"/>
      <c r="AY76" s="18">
        <f t="shared" ref="AY76:AY78" si="159">AV76+AX76</f>
        <v>10000</v>
      </c>
      <c r="BB76" s="18">
        <f t="shared" si="136"/>
        <v>10000</v>
      </c>
      <c r="BD76" s="18"/>
      <c r="BE76" s="18">
        <f t="shared" si="137"/>
        <v>10000</v>
      </c>
      <c r="BG76" s="18"/>
      <c r="BH76" s="18">
        <f t="shared" si="138"/>
        <v>10000</v>
      </c>
      <c r="BJ76" s="18">
        <v>9436.83</v>
      </c>
      <c r="BK76" s="279">
        <f t="shared" si="139"/>
        <v>0.94368299999999994</v>
      </c>
      <c r="BM76" s="289">
        <v>0</v>
      </c>
      <c r="BN76" s="279">
        <f t="shared" si="140"/>
        <v>0</v>
      </c>
      <c r="BO76" s="279">
        <f t="shared" si="141"/>
        <v>0</v>
      </c>
      <c r="BQ76" s="289"/>
      <c r="BR76" s="18">
        <f t="shared" si="142"/>
        <v>0</v>
      </c>
      <c r="BT76" s="289"/>
      <c r="BU76" s="18">
        <f>BR76+BT76</f>
        <v>0</v>
      </c>
      <c r="BW76" s="289"/>
      <c r="BX76" s="18">
        <f>BU76+BW76</f>
        <v>0</v>
      </c>
      <c r="BZ76" s="349">
        <f>21000</f>
        <v>21000</v>
      </c>
      <c r="CA76" s="18">
        <f t="shared" si="143"/>
        <v>21000</v>
      </c>
      <c r="CC76" s="289"/>
      <c r="CD76" s="18">
        <f t="shared" si="144"/>
        <v>21000</v>
      </c>
      <c r="CF76" s="289"/>
      <c r="CG76" s="18">
        <f t="shared" si="145"/>
        <v>21000</v>
      </c>
      <c r="CI76" s="289"/>
      <c r="CJ76" s="18">
        <f t="shared" si="146"/>
        <v>21000</v>
      </c>
      <c r="CM76" s="18">
        <f t="shared" si="147"/>
        <v>21000</v>
      </c>
      <c r="CO76" s="327">
        <v>-15000</v>
      </c>
      <c r="CP76" s="18">
        <f t="shared" si="148"/>
        <v>6000</v>
      </c>
      <c r="CR76" s="327"/>
      <c r="CS76" s="18">
        <f t="shared" si="149"/>
        <v>6000</v>
      </c>
      <c r="CU76" s="349">
        <v>-1000</v>
      </c>
      <c r="CV76" s="18">
        <f t="shared" si="150"/>
        <v>5000</v>
      </c>
      <c r="CX76" s="349"/>
      <c r="CY76" s="18">
        <f t="shared" si="151"/>
        <v>5000</v>
      </c>
      <c r="DA76" s="327">
        <v>4718.83</v>
      </c>
      <c r="DC76" s="327"/>
    </row>
    <row r="77" spans="1:107" outlineLevel="1">
      <c r="A77" s="14" t="s">
        <v>167</v>
      </c>
      <c r="B77" s="14" t="s">
        <v>159</v>
      </c>
      <c r="C77" s="4" t="s">
        <v>160</v>
      </c>
      <c r="D77" s="52">
        <v>1400</v>
      </c>
      <c r="E77" s="37">
        <v>967.14</v>
      </c>
      <c r="F77" s="52">
        <v>27232</v>
      </c>
      <c r="G77" s="37">
        <v>49.72</v>
      </c>
      <c r="H77" s="56">
        <v>13540</v>
      </c>
      <c r="I77" s="40">
        <v>13540</v>
      </c>
      <c r="J77" s="17"/>
      <c r="K77" t="s">
        <v>336</v>
      </c>
      <c r="L77" s="134">
        <v>15000</v>
      </c>
      <c r="M77" s="20">
        <f t="shared" ref="M77:M94" si="160">L77/F77-1</f>
        <v>-0.44917743830787304</v>
      </c>
      <c r="N77" s="20">
        <f t="shared" ref="N77:N94" si="161">L77/I77-1</f>
        <v>0.10782865583456425</v>
      </c>
      <c r="Q77" s="134">
        <v>15000</v>
      </c>
      <c r="R77" s="18">
        <v>1548</v>
      </c>
      <c r="S77" s="134">
        <v>13000</v>
      </c>
      <c r="T77" s="18">
        <f>S77-Q77</f>
        <v>-2000</v>
      </c>
      <c r="U77" s="19">
        <f>S77/Q77-1</f>
        <v>-0.1333333333333333</v>
      </c>
      <c r="Y77" s="134">
        <v>13000</v>
      </c>
      <c r="AA77" s="134">
        <v>13000</v>
      </c>
      <c r="AB77" s="216">
        <f t="shared" si="154"/>
        <v>0</v>
      </c>
      <c r="AC77" s="219">
        <f t="shared" si="155"/>
        <v>0</v>
      </c>
      <c r="AD77" s="219"/>
      <c r="AE77" s="134">
        <v>20700</v>
      </c>
      <c r="AF77" s="213">
        <f t="shared" ref="AF77:AF118" si="162">AE77-AA77</f>
        <v>7700</v>
      </c>
      <c r="AH77" s="18">
        <v>20687</v>
      </c>
      <c r="AI77" s="20">
        <f t="shared" si="156"/>
        <v>0.99937198067632849</v>
      </c>
      <c r="AK77" s="134">
        <v>20000</v>
      </c>
      <c r="AS77" s="18">
        <f t="shared" si="157"/>
        <v>20000</v>
      </c>
      <c r="AV77" s="18">
        <f t="shared" si="158"/>
        <v>20000</v>
      </c>
      <c r="AX77" s="18"/>
      <c r="AY77" s="18">
        <f t="shared" si="159"/>
        <v>20000</v>
      </c>
      <c r="BB77" s="18">
        <f t="shared" si="136"/>
        <v>20000</v>
      </c>
      <c r="BD77" s="18"/>
      <c r="BE77" s="18">
        <f t="shared" si="137"/>
        <v>20000</v>
      </c>
      <c r="BG77" s="18">
        <v>-2000</v>
      </c>
      <c r="BH77" s="18">
        <f t="shared" si="138"/>
        <v>18000</v>
      </c>
      <c r="BJ77" s="18">
        <v>17344</v>
      </c>
      <c r="BK77" s="279">
        <f t="shared" si="139"/>
        <v>0.96355555555555561</v>
      </c>
      <c r="BM77" s="289">
        <v>15000</v>
      </c>
      <c r="BN77" s="279">
        <f t="shared" si="140"/>
        <v>0.86485239852398521</v>
      </c>
      <c r="BO77" s="279">
        <f t="shared" si="141"/>
        <v>0.83333333333333337</v>
      </c>
      <c r="BQ77" s="289"/>
      <c r="BR77" s="18">
        <f t="shared" si="142"/>
        <v>15000</v>
      </c>
      <c r="BT77" s="289"/>
      <c r="BU77" s="18">
        <f>BR77+BT77</f>
        <v>15000</v>
      </c>
      <c r="BW77" s="289"/>
      <c r="BX77" s="18">
        <f>BU77+BW77</f>
        <v>15000</v>
      </c>
      <c r="BZ77" s="289"/>
      <c r="CA77" s="18">
        <f t="shared" si="143"/>
        <v>15000</v>
      </c>
      <c r="CC77" s="289"/>
      <c r="CD77" s="18">
        <f t="shared" si="144"/>
        <v>15000</v>
      </c>
      <c r="CF77" s="289"/>
      <c r="CG77" s="18">
        <f t="shared" si="145"/>
        <v>15000</v>
      </c>
      <c r="CI77" s="289"/>
      <c r="CJ77" s="18">
        <f t="shared" si="146"/>
        <v>15000</v>
      </c>
      <c r="CM77" s="18">
        <f t="shared" si="147"/>
        <v>15000</v>
      </c>
      <c r="CO77" s="327">
        <v>-2000</v>
      </c>
      <c r="CP77" s="18">
        <f t="shared" si="148"/>
        <v>13000</v>
      </c>
      <c r="CR77" s="327"/>
      <c r="CS77" s="18">
        <f t="shared" si="149"/>
        <v>13000</v>
      </c>
      <c r="CU77" s="349">
        <v>-4500</v>
      </c>
      <c r="CV77" s="18">
        <f t="shared" si="150"/>
        <v>8500</v>
      </c>
      <c r="CX77" s="349"/>
      <c r="CY77" s="18">
        <f t="shared" si="151"/>
        <v>8500</v>
      </c>
      <c r="DA77" s="327">
        <v>8116</v>
      </c>
      <c r="DC77" s="327">
        <v>8500</v>
      </c>
    </row>
    <row r="78" spans="1:107" outlineLevel="1">
      <c r="A78" s="14" t="s">
        <v>167</v>
      </c>
      <c r="B78" s="14" t="s">
        <v>163</v>
      </c>
      <c r="C78" s="4" t="s">
        <v>164</v>
      </c>
      <c r="D78" s="52">
        <v>5000</v>
      </c>
      <c r="E78" s="37">
        <v>93.68</v>
      </c>
      <c r="F78" s="52">
        <v>5000</v>
      </c>
      <c r="G78" s="37">
        <v>93.68</v>
      </c>
      <c r="H78" s="56">
        <v>4684</v>
      </c>
      <c r="I78" s="40"/>
      <c r="J78" s="17"/>
      <c r="K78" t="s">
        <v>336</v>
      </c>
      <c r="L78" s="134">
        <v>5000</v>
      </c>
      <c r="M78" s="20">
        <f t="shared" si="160"/>
        <v>0</v>
      </c>
      <c r="N78" s="20" t="e">
        <f t="shared" si="161"/>
        <v>#DIV/0!</v>
      </c>
      <c r="Q78" s="134">
        <v>5000</v>
      </c>
      <c r="R78" s="18">
        <v>2718</v>
      </c>
      <c r="S78" s="134">
        <v>4000</v>
      </c>
      <c r="T78" s="18">
        <f>S78-Q78</f>
        <v>-1000</v>
      </c>
      <c r="U78" s="19">
        <f>S78/Q78-1</f>
        <v>-0.19999999999999996</v>
      </c>
      <c r="Y78" s="134">
        <v>5700</v>
      </c>
      <c r="AA78" s="134">
        <v>5700</v>
      </c>
      <c r="AB78" s="216">
        <f t="shared" si="154"/>
        <v>0</v>
      </c>
      <c r="AC78" s="219">
        <f t="shared" si="155"/>
        <v>0</v>
      </c>
      <c r="AD78" s="219"/>
      <c r="AE78" s="134">
        <v>5700</v>
      </c>
      <c r="AF78" s="213"/>
      <c r="AH78" s="18">
        <v>5116</v>
      </c>
      <c r="AI78" s="20">
        <f t="shared" si="156"/>
        <v>0.89754385964912275</v>
      </c>
      <c r="AK78" s="134">
        <v>6000</v>
      </c>
      <c r="AS78" s="18">
        <f t="shared" si="157"/>
        <v>6000</v>
      </c>
      <c r="AV78" s="18">
        <f t="shared" si="158"/>
        <v>6000</v>
      </c>
      <c r="AX78" s="18"/>
      <c r="AY78" s="18">
        <f t="shared" si="159"/>
        <v>6000</v>
      </c>
      <c r="BB78" s="18">
        <f t="shared" si="136"/>
        <v>6000</v>
      </c>
      <c r="BD78" s="18">
        <v>3000</v>
      </c>
      <c r="BE78" s="18">
        <f t="shared" si="137"/>
        <v>9000</v>
      </c>
      <c r="BG78" s="18"/>
      <c r="BH78" s="18">
        <f t="shared" si="138"/>
        <v>9000</v>
      </c>
      <c r="BJ78" s="18">
        <v>7784</v>
      </c>
      <c r="BK78" s="279">
        <f t="shared" si="139"/>
        <v>0.86488888888888893</v>
      </c>
      <c r="BM78" s="292">
        <f>12*1100</f>
        <v>13200</v>
      </c>
      <c r="BN78" s="279">
        <f t="shared" si="140"/>
        <v>1.6957862281603289</v>
      </c>
      <c r="BO78" s="279">
        <f t="shared" si="141"/>
        <v>1.4666666666666666</v>
      </c>
      <c r="BQ78" s="289"/>
      <c r="BR78" s="18">
        <f t="shared" si="142"/>
        <v>13200</v>
      </c>
      <c r="BT78" s="289"/>
      <c r="BU78" s="18">
        <f>BR78+BT78</f>
        <v>13200</v>
      </c>
      <c r="BW78" s="289"/>
      <c r="BX78" s="18">
        <f>BU78+BW78</f>
        <v>13200</v>
      </c>
      <c r="BZ78" s="289"/>
      <c r="CA78" s="18">
        <f t="shared" si="143"/>
        <v>13200</v>
      </c>
      <c r="CC78" s="289"/>
      <c r="CD78" s="18">
        <f t="shared" si="144"/>
        <v>13200</v>
      </c>
      <c r="CF78" s="289"/>
      <c r="CG78" s="18">
        <f t="shared" si="145"/>
        <v>13200</v>
      </c>
      <c r="CI78" s="289"/>
      <c r="CJ78" s="18">
        <f t="shared" si="146"/>
        <v>13200</v>
      </c>
      <c r="CL78" s="327">
        <v>500</v>
      </c>
      <c r="CM78" s="18">
        <f t="shared" si="147"/>
        <v>13700</v>
      </c>
      <c r="CO78" s="327">
        <v>2000</v>
      </c>
      <c r="CP78" s="18">
        <f t="shared" si="148"/>
        <v>15700</v>
      </c>
      <c r="CR78" s="327"/>
      <c r="CS78" s="18">
        <f t="shared" si="149"/>
        <v>15700</v>
      </c>
      <c r="CU78" s="349">
        <v>1000</v>
      </c>
      <c r="CV78" s="18">
        <f t="shared" si="150"/>
        <v>16700</v>
      </c>
      <c r="CX78" s="349"/>
      <c r="CY78" s="18">
        <f t="shared" si="151"/>
        <v>16700</v>
      </c>
      <c r="DA78" s="327">
        <v>16554.59</v>
      </c>
      <c r="DC78" s="327">
        <v>17000</v>
      </c>
    </row>
    <row r="79" spans="1:107" outlineLevel="1">
      <c r="A79" s="14" t="s">
        <v>167</v>
      </c>
      <c r="B79" s="14" t="s">
        <v>117</v>
      </c>
      <c r="C79" s="4" t="s">
        <v>118</v>
      </c>
      <c r="D79" s="52">
        <v>1000</v>
      </c>
      <c r="E79" s="37">
        <v>0</v>
      </c>
      <c r="F79" s="52">
        <v>1000</v>
      </c>
      <c r="G79" s="37">
        <v>0</v>
      </c>
      <c r="H79" s="56">
        <v>0</v>
      </c>
      <c r="I79" s="40">
        <v>0</v>
      </c>
      <c r="J79" s="17"/>
      <c r="M79" s="20">
        <f t="shared" si="160"/>
        <v>-1</v>
      </c>
      <c r="N79" s="20" t="e">
        <f t="shared" si="161"/>
        <v>#DIV/0!</v>
      </c>
      <c r="Y79" s="134"/>
      <c r="AB79" s="216"/>
      <c r="AC79" s="219"/>
      <c r="AD79" s="219"/>
      <c r="AF79" s="213"/>
      <c r="AH79" s="18"/>
      <c r="AS79" s="18"/>
      <c r="AX79" s="18"/>
      <c r="BD79" s="18"/>
      <c r="BG79" s="18"/>
      <c r="BZ79" s="349">
        <v>4000</v>
      </c>
      <c r="CA79" s="18">
        <f t="shared" si="143"/>
        <v>4000</v>
      </c>
      <c r="CC79" s="289"/>
      <c r="CD79" s="18">
        <f t="shared" si="144"/>
        <v>4000</v>
      </c>
      <c r="CF79" s="289"/>
      <c r="CG79" s="18">
        <f t="shared" si="145"/>
        <v>4000</v>
      </c>
      <c r="CI79" s="289"/>
      <c r="CJ79" s="18">
        <f t="shared" si="146"/>
        <v>4000</v>
      </c>
      <c r="CM79" s="18">
        <f t="shared" si="147"/>
        <v>4000</v>
      </c>
      <c r="CO79" s="327">
        <v>-4000</v>
      </c>
      <c r="CP79" s="18">
        <f t="shared" si="148"/>
        <v>0</v>
      </c>
      <c r="CR79" s="327"/>
      <c r="CS79" s="18">
        <f t="shared" si="149"/>
        <v>0</v>
      </c>
      <c r="CU79" s="327"/>
      <c r="CV79" s="18">
        <f t="shared" si="150"/>
        <v>0</v>
      </c>
      <c r="CX79" s="327"/>
      <c r="CY79" s="18">
        <f t="shared" si="151"/>
        <v>0</v>
      </c>
      <c r="DA79" s="327"/>
      <c r="DC79" s="327"/>
    </row>
    <row r="80" spans="1:107" outlineLevel="1">
      <c r="A80" s="14" t="s">
        <v>167</v>
      </c>
      <c r="B80" s="14" t="s">
        <v>119</v>
      </c>
      <c r="C80" s="4" t="s">
        <v>120</v>
      </c>
      <c r="D80" s="52">
        <v>2000</v>
      </c>
      <c r="E80" s="37">
        <v>36.049999999999997</v>
      </c>
      <c r="F80" s="52">
        <v>2000</v>
      </c>
      <c r="G80" s="37">
        <v>36.049999999999997</v>
      </c>
      <c r="H80" s="56">
        <v>721</v>
      </c>
      <c r="I80" s="40">
        <v>721</v>
      </c>
      <c r="J80" s="17"/>
      <c r="L80" s="134">
        <v>1000</v>
      </c>
      <c r="M80" s="20">
        <f t="shared" si="160"/>
        <v>-0.5</v>
      </c>
      <c r="N80" s="20">
        <f t="shared" si="161"/>
        <v>0.38696255201109575</v>
      </c>
      <c r="Q80" s="134">
        <v>1000</v>
      </c>
      <c r="R80" s="18">
        <v>349</v>
      </c>
      <c r="S80" s="134">
        <v>1000</v>
      </c>
      <c r="T80" s="18">
        <f>S80-Q80</f>
        <v>0</v>
      </c>
      <c r="U80" s="19">
        <f>S80/Q80-1</f>
        <v>0</v>
      </c>
      <c r="Y80" s="134">
        <v>1000</v>
      </c>
      <c r="AA80" s="134">
        <v>3000</v>
      </c>
      <c r="AB80" s="216">
        <f t="shared" si="154"/>
        <v>2000</v>
      </c>
      <c r="AC80" s="219">
        <f t="shared" si="155"/>
        <v>2000</v>
      </c>
      <c r="AD80" s="219"/>
      <c r="AE80" s="134">
        <v>11000</v>
      </c>
      <c r="AF80" s="213">
        <f t="shared" si="162"/>
        <v>8000</v>
      </c>
      <c r="AH80" s="18">
        <v>10923</v>
      </c>
      <c r="AI80" s="20">
        <f t="shared" ref="AI80" si="163">AH80/AE80</f>
        <v>0.99299999999999999</v>
      </c>
      <c r="AK80" s="134">
        <v>15000</v>
      </c>
      <c r="AS80" s="18">
        <f t="shared" si="157"/>
        <v>15000</v>
      </c>
      <c r="AV80" s="18">
        <f>AS80+AU80</f>
        <v>15000</v>
      </c>
      <c r="AX80" s="18"/>
      <c r="AY80" s="18">
        <f>AV80+AX80</f>
        <v>15000</v>
      </c>
      <c r="BB80" s="18">
        <f>AY80+BA80</f>
        <v>15000</v>
      </c>
      <c r="BD80" s="18">
        <v>-13000</v>
      </c>
      <c r="BE80" s="18">
        <f>BB80+BD80</f>
        <v>2000</v>
      </c>
      <c r="BG80" s="18"/>
      <c r="BH80" s="18">
        <f>BE80+BG80</f>
        <v>2000</v>
      </c>
      <c r="BJ80" s="18">
        <v>938</v>
      </c>
      <c r="BK80" s="279">
        <f t="shared" ref="BK80" si="164">BJ80/BH80</f>
        <v>0.46899999999999997</v>
      </c>
      <c r="BM80" s="289">
        <v>2000</v>
      </c>
      <c r="BN80" s="279">
        <f t="shared" ref="BN80" si="165">BM80/BJ80</f>
        <v>2.1321961620469083</v>
      </c>
      <c r="BO80" s="279">
        <f t="shared" ref="BO80" si="166">BM80/BH80</f>
        <v>1</v>
      </c>
      <c r="BQ80" s="289"/>
      <c r="BR80" s="18">
        <f>BM80+BQ80</f>
        <v>2000</v>
      </c>
      <c r="BT80" s="289"/>
      <c r="BU80" s="18">
        <f>BR80+BT80</f>
        <v>2000</v>
      </c>
      <c r="BW80" s="289"/>
      <c r="BX80" s="18">
        <f>BU80+BW80</f>
        <v>2000</v>
      </c>
      <c r="BZ80" s="349">
        <v>1000</v>
      </c>
      <c r="CA80" s="18">
        <f t="shared" si="143"/>
        <v>3000</v>
      </c>
      <c r="CC80" s="289"/>
      <c r="CD80" s="18">
        <f t="shared" si="144"/>
        <v>3000</v>
      </c>
      <c r="CF80" s="289"/>
      <c r="CG80" s="18">
        <f t="shared" si="145"/>
        <v>3000</v>
      </c>
      <c r="CI80" s="289"/>
      <c r="CJ80" s="18">
        <f t="shared" si="146"/>
        <v>3000</v>
      </c>
      <c r="CM80" s="18">
        <f t="shared" si="147"/>
        <v>3000</v>
      </c>
      <c r="CO80" s="327"/>
      <c r="CP80" s="18">
        <f t="shared" si="148"/>
        <v>3000</v>
      </c>
      <c r="CR80" s="327"/>
      <c r="CS80" s="18">
        <f t="shared" si="149"/>
        <v>3000</v>
      </c>
      <c r="CU80" s="349">
        <v>-500</v>
      </c>
      <c r="CV80" s="18">
        <f t="shared" si="150"/>
        <v>2500</v>
      </c>
      <c r="CX80" s="349"/>
      <c r="CY80" s="18">
        <f t="shared" si="151"/>
        <v>2500</v>
      </c>
      <c r="DA80" s="327">
        <v>2449</v>
      </c>
      <c r="DC80" s="327">
        <v>40000</v>
      </c>
    </row>
    <row r="81" spans="1:107" outlineLevel="1">
      <c r="A81" s="426" t="s">
        <v>167</v>
      </c>
      <c r="B81" s="426" t="s">
        <v>597</v>
      </c>
      <c r="C81" s="4" t="s">
        <v>598</v>
      </c>
      <c r="D81" s="52"/>
      <c r="E81" s="37"/>
      <c r="F81" s="52"/>
      <c r="G81" s="37"/>
      <c r="H81" s="56"/>
      <c r="I81" s="40"/>
      <c r="J81" s="17"/>
      <c r="M81" s="20"/>
      <c r="N81" s="20"/>
      <c r="U81" s="19"/>
      <c r="Y81" s="134"/>
      <c r="AB81" s="216"/>
      <c r="AC81" s="219"/>
      <c r="AD81" s="219"/>
      <c r="AF81" s="213"/>
      <c r="AH81" s="18"/>
      <c r="AI81" s="20"/>
      <c r="AS81" s="18"/>
      <c r="AV81" s="18"/>
      <c r="AX81" s="18"/>
      <c r="AY81" s="18"/>
      <c r="BB81" s="18"/>
      <c r="BD81" s="18"/>
      <c r="BE81" s="18"/>
      <c r="BG81" s="18"/>
      <c r="BH81" s="18"/>
      <c r="BK81" s="279"/>
      <c r="BM81" s="289"/>
      <c r="BN81" s="279"/>
      <c r="BO81" s="279"/>
      <c r="BQ81" s="289"/>
      <c r="BR81" s="18"/>
      <c r="BT81" s="289"/>
      <c r="BU81" s="18"/>
      <c r="BW81" s="289"/>
      <c r="BX81" s="18"/>
      <c r="BZ81" s="349"/>
      <c r="CA81" s="18"/>
      <c r="CC81" s="289"/>
      <c r="CD81" s="18"/>
      <c r="CF81" s="289"/>
      <c r="CG81" s="18"/>
      <c r="CI81" s="289"/>
      <c r="CJ81" s="18"/>
      <c r="CM81" s="18"/>
      <c r="CO81" s="327"/>
      <c r="CP81" s="18"/>
      <c r="CR81" s="327"/>
      <c r="CS81" s="18"/>
      <c r="CU81" s="349"/>
      <c r="CV81" s="18"/>
      <c r="CX81" s="349"/>
      <c r="CY81" s="18"/>
      <c r="DA81" s="327"/>
      <c r="DC81" s="327">
        <v>378000</v>
      </c>
    </row>
    <row r="82" spans="1:107" outlineLevel="1">
      <c r="A82" s="14" t="s">
        <v>167</v>
      </c>
      <c r="B82" s="4" t="s">
        <v>46</v>
      </c>
      <c r="C82" s="4" t="s">
        <v>168</v>
      </c>
      <c r="D82" s="52">
        <v>14400</v>
      </c>
      <c r="E82" s="37">
        <v>196.61</v>
      </c>
      <c r="F82" s="52">
        <v>52232</v>
      </c>
      <c r="G82" s="37">
        <v>54.2</v>
      </c>
      <c r="H82" s="56">
        <v>28312</v>
      </c>
      <c r="I82" s="40"/>
      <c r="J82" s="17"/>
      <c r="M82" s="20"/>
      <c r="N82" s="20"/>
      <c r="Y82" s="134"/>
      <c r="AF82" s="213"/>
      <c r="AH82" s="18"/>
      <c r="AX82" s="18"/>
      <c r="BD82" s="18"/>
      <c r="BG82" s="18"/>
    </row>
    <row r="83" spans="1:107" ht="15.75" thickBot="1">
      <c r="A83" s="70" t="s">
        <v>167</v>
      </c>
      <c r="B83" s="71" t="s">
        <v>320</v>
      </c>
      <c r="C83" s="338" t="s">
        <v>168</v>
      </c>
      <c r="D83" s="73">
        <f>SUM(D76:D80)</f>
        <v>14400</v>
      </c>
      <c r="E83" s="74"/>
      <c r="F83" s="73">
        <f>SUM(F76:F80)</f>
        <v>52232</v>
      </c>
      <c r="G83" s="74"/>
      <c r="H83" s="73"/>
      <c r="I83" s="73">
        <f>SUM(I76:I80)</f>
        <v>23628</v>
      </c>
      <c r="J83" s="156" t="e">
        <f>I83/$I$304</f>
        <v>#REF!</v>
      </c>
      <c r="K83" s="76"/>
      <c r="L83" s="138">
        <f>SUM(L76:L80)</f>
        <v>31000</v>
      </c>
      <c r="M83" s="77">
        <f>L83/F83-1</f>
        <v>-0.40649410323173529</v>
      </c>
      <c r="N83" s="77">
        <f>L83/I83-1</f>
        <v>0.3120027086507533</v>
      </c>
      <c r="O83" s="20">
        <f>L83/$L$304</f>
        <v>7.192575539537365E-3</v>
      </c>
      <c r="P83" s="20"/>
      <c r="Q83" s="138">
        <f>SUM(Q76:Q80)</f>
        <v>31000</v>
      </c>
      <c r="R83" s="138">
        <f>SUM(R76:R80)</f>
        <v>11557</v>
      </c>
      <c r="S83" s="138">
        <f>SUM(S76:S80)</f>
        <v>27000</v>
      </c>
      <c r="T83" s="138">
        <f>SUM(T76:T80)</f>
        <v>-4000</v>
      </c>
      <c r="U83" s="175">
        <f>S83/Q83-1</f>
        <v>-0.12903225806451613</v>
      </c>
      <c r="Y83" s="138">
        <f>SUM(Y76:Y80)</f>
        <v>33700</v>
      </c>
      <c r="AA83" s="138">
        <f>SUM(AA76:AA80)</f>
        <v>35700</v>
      </c>
      <c r="AB83" s="138">
        <f>SUM(AB76:AB80)</f>
        <v>2000</v>
      </c>
      <c r="AE83" s="138">
        <f>SUM(AE76:AE80)</f>
        <v>51400</v>
      </c>
      <c r="AF83" s="213"/>
      <c r="AH83" s="138">
        <f>SUM(AH76:AH80)</f>
        <v>48781.81</v>
      </c>
      <c r="AI83" s="20">
        <f t="shared" ref="AI83:AI84" si="167">AH83/AE83</f>
        <v>0.94906245136186762</v>
      </c>
      <c r="AK83" s="138">
        <f>SUM(AK76:AK80)</f>
        <v>51000</v>
      </c>
      <c r="AL83" s="229">
        <f t="shared" ref="AL83:AL84" si="168">AK83/L83</f>
        <v>1.6451612903225807</v>
      </c>
      <c r="AM83" s="20">
        <f t="shared" ref="AM83:AM84" si="169">AK83/AE83</f>
        <v>0.99221789883268485</v>
      </c>
      <c r="AN83" s="20">
        <f t="shared" ref="AN83:AN84" si="170">AK83/AH83</f>
        <v>1.0454716624905882</v>
      </c>
      <c r="AS83" s="138">
        <f>SUM(AS76:AS80)</f>
        <v>51000</v>
      </c>
      <c r="AU83" s="138">
        <f>SUM(AU76:AU80)</f>
        <v>0</v>
      </c>
      <c r="AV83" s="138">
        <f>SUM(AV76:AV80)</f>
        <v>51000</v>
      </c>
      <c r="AX83" s="138">
        <f>SUM(AX76:AX80)</f>
        <v>0</v>
      </c>
      <c r="AY83" s="138">
        <f>SUM(AY76:AY80)</f>
        <v>51000</v>
      </c>
      <c r="BA83" s="138">
        <f>SUM(BA75:BA80)</f>
        <v>5000</v>
      </c>
      <c r="BB83" s="138">
        <f>SUM(BB75:BB80)</f>
        <v>56000</v>
      </c>
      <c r="BD83" s="138">
        <f>SUM(BD75:BD80)</f>
        <v>-10000</v>
      </c>
      <c r="BE83" s="138">
        <f>SUM(BE75:BE80)</f>
        <v>46000</v>
      </c>
      <c r="BG83" s="138">
        <f>SUM(BG75:BG80)</f>
        <v>-2000</v>
      </c>
      <c r="BH83" s="138">
        <f>SUM(BH75:BH80)</f>
        <v>44000</v>
      </c>
      <c r="BJ83" s="138">
        <f>SUM(BJ75:BJ80)</f>
        <v>38817.83</v>
      </c>
      <c r="BK83" s="280">
        <f t="shared" ref="BK83:BK84" si="171">BJ83/BH83</f>
        <v>0.88222340909090913</v>
      </c>
      <c r="BM83" s="138">
        <f>SUM(BM75:BM80)</f>
        <v>33200</v>
      </c>
      <c r="BN83" s="280">
        <f t="shared" ref="BN83:BN84" si="172">BM83/BJ83</f>
        <v>0.85527707241749473</v>
      </c>
      <c r="BO83" s="280">
        <f t="shared" ref="BO83:BO84" si="173">BM83/BH83</f>
        <v>0.75454545454545452</v>
      </c>
      <c r="BQ83" s="138">
        <f>SUM(BQ75:BQ80)</f>
        <v>0</v>
      </c>
      <c r="BR83" s="138">
        <f>SUM(BR75:BR80)</f>
        <v>33200</v>
      </c>
      <c r="BT83" s="138">
        <f>SUM(BT75:BT80)</f>
        <v>0</v>
      </c>
      <c r="BU83" s="138">
        <f>SUM(BU75:BU80)</f>
        <v>33200</v>
      </c>
      <c r="BW83" s="138">
        <f>SUM(BW75:BW80)</f>
        <v>0</v>
      </c>
      <c r="BX83" s="138">
        <f>SUM(BX75:BX80)</f>
        <v>33200</v>
      </c>
      <c r="BZ83" s="138">
        <f>SUM(BZ75:BZ80)</f>
        <v>26000</v>
      </c>
      <c r="CA83" s="138">
        <f>SUM(CA75:CA80)</f>
        <v>59200</v>
      </c>
      <c r="CC83" s="138">
        <f>SUM(CC75:CC80)</f>
        <v>0</v>
      </c>
      <c r="CD83" s="138">
        <f>SUM(CD75:CD80)</f>
        <v>59200</v>
      </c>
      <c r="CF83" s="138">
        <f>SUM(CF75:CF80)</f>
        <v>0</v>
      </c>
      <c r="CG83" s="138">
        <f>SUM(CG75:CG80)</f>
        <v>59200</v>
      </c>
      <c r="CI83" s="138">
        <f>SUM(CI75:CI80)</f>
        <v>0</v>
      </c>
      <c r="CJ83" s="138">
        <f>SUM(CJ75:CJ80)</f>
        <v>59200</v>
      </c>
      <c r="CL83" s="391">
        <f>SUM(CL75:CL80)</f>
        <v>500</v>
      </c>
      <c r="CM83" s="138">
        <f>SUM(CM75:CM80)</f>
        <v>59700</v>
      </c>
      <c r="CO83" s="138">
        <f>SUM(CO75:CO80)</f>
        <v>-19000</v>
      </c>
      <c r="CP83" s="138">
        <f>SUM(CP75:CP80)</f>
        <v>40700</v>
      </c>
      <c r="CR83" s="138">
        <f>SUM(CR75:CR80)</f>
        <v>0</v>
      </c>
      <c r="CS83" s="138">
        <f>SUM(CS75:CS80)</f>
        <v>40700</v>
      </c>
      <c r="CU83" s="138">
        <f>SUM(CU75:CU80)</f>
        <v>-8000</v>
      </c>
      <c r="CV83" s="138">
        <f>SUM(CV75:CV80)</f>
        <v>32700</v>
      </c>
      <c r="CX83" s="138">
        <f>SUM(CX75:CX80)</f>
        <v>0</v>
      </c>
      <c r="CY83" s="138">
        <f>SUM(CY75:CY80)</f>
        <v>32700</v>
      </c>
      <c r="DA83" s="138">
        <f>SUM(DA75:DA80)</f>
        <v>31838.42</v>
      </c>
      <c r="DC83" s="138">
        <f>SUM(DC75:DC80)</f>
        <v>65500</v>
      </c>
    </row>
    <row r="84" spans="1:107" ht="16.5" thickTop="1" thickBot="1">
      <c r="A84" s="80" t="s">
        <v>167</v>
      </c>
      <c r="B84" s="81" t="s">
        <v>362</v>
      </c>
      <c r="C84" s="339" t="s">
        <v>337</v>
      </c>
      <c r="D84" s="82">
        <f>D80</f>
        <v>2000</v>
      </c>
      <c r="E84" s="83"/>
      <c r="F84" s="82">
        <f>F80</f>
        <v>2000</v>
      </c>
      <c r="G84" s="83"/>
      <c r="H84" s="82"/>
      <c r="I84" s="82">
        <f>I80</f>
        <v>721</v>
      </c>
      <c r="J84" s="84"/>
      <c r="K84" s="85"/>
      <c r="L84" s="139">
        <f>L80</f>
        <v>1000</v>
      </c>
      <c r="M84" s="86">
        <f>L84/F84-1</f>
        <v>-0.5</v>
      </c>
      <c r="N84" s="86">
        <f>L84/I84-1</f>
        <v>0.38696255201109575</v>
      </c>
      <c r="Q84" s="139">
        <f>Q80</f>
        <v>1000</v>
      </c>
      <c r="R84" s="139">
        <f>R80</f>
        <v>349</v>
      </c>
      <c r="S84" s="139">
        <f>S80</f>
        <v>1000</v>
      </c>
      <c r="T84" s="139">
        <f>T80</f>
        <v>0</v>
      </c>
      <c r="U84" s="175">
        <f>S84/Q84-1</f>
        <v>0</v>
      </c>
      <c r="Y84" s="139">
        <f>Y80</f>
        <v>1000</v>
      </c>
      <c r="AA84" s="139">
        <f>AA80</f>
        <v>3000</v>
      </c>
      <c r="AB84" s="139">
        <f>AB80</f>
        <v>2000</v>
      </c>
      <c r="AE84" s="139">
        <f>AE80</f>
        <v>11000</v>
      </c>
      <c r="AF84" s="213"/>
      <c r="AH84" s="139">
        <f>AH80</f>
        <v>10923</v>
      </c>
      <c r="AI84" s="20">
        <f t="shared" si="167"/>
        <v>0.99299999999999999</v>
      </c>
      <c r="AK84" s="139">
        <f>AK80</f>
        <v>15000</v>
      </c>
      <c r="AL84" s="229">
        <f t="shared" si="168"/>
        <v>15</v>
      </c>
      <c r="AM84" s="20">
        <f t="shared" si="169"/>
        <v>1.3636363636363635</v>
      </c>
      <c r="AN84" s="20">
        <f t="shared" si="170"/>
        <v>1.3732491073880801</v>
      </c>
      <c r="AS84" s="139">
        <f>AS80</f>
        <v>15000</v>
      </c>
      <c r="AU84" s="139">
        <f>AU80</f>
        <v>0</v>
      </c>
      <c r="AV84" s="139">
        <f>AV80</f>
        <v>15000</v>
      </c>
      <c r="AX84" s="139">
        <f>AX80</f>
        <v>0</v>
      </c>
      <c r="AY84" s="139">
        <f>AY80</f>
        <v>15000</v>
      </c>
      <c r="BA84" s="139">
        <f>BA80</f>
        <v>0</v>
      </c>
      <c r="BB84" s="139">
        <f>BB80</f>
        <v>15000</v>
      </c>
      <c r="BD84" s="139">
        <f>BD80</f>
        <v>-13000</v>
      </c>
      <c r="BE84" s="139">
        <f>BE80</f>
        <v>2000</v>
      </c>
      <c r="BG84" s="139">
        <f>BG80</f>
        <v>0</v>
      </c>
      <c r="BH84" s="139">
        <f>BH80</f>
        <v>2000</v>
      </c>
      <c r="BJ84" s="139">
        <f>BJ80</f>
        <v>938</v>
      </c>
      <c r="BK84" s="280">
        <f t="shared" si="171"/>
        <v>0.46899999999999997</v>
      </c>
      <c r="BM84" s="139">
        <f>BM80</f>
        <v>2000</v>
      </c>
      <c r="BN84" s="280">
        <f t="shared" si="172"/>
        <v>2.1321961620469083</v>
      </c>
      <c r="BO84" s="280">
        <f t="shared" si="173"/>
        <v>1</v>
      </c>
      <c r="BQ84" s="139">
        <f>BQ80</f>
        <v>0</v>
      </c>
      <c r="BR84" s="139">
        <f>BR80</f>
        <v>2000</v>
      </c>
      <c r="BT84" s="139">
        <f>BT80</f>
        <v>0</v>
      </c>
      <c r="BU84" s="139">
        <f>BU80</f>
        <v>2000</v>
      </c>
      <c r="BW84" s="139">
        <f>BW80</f>
        <v>0</v>
      </c>
      <c r="BX84" s="139">
        <f>BX80</f>
        <v>2000</v>
      </c>
      <c r="BZ84" s="139">
        <f>BZ80</f>
        <v>1000</v>
      </c>
      <c r="CA84" s="139">
        <f>CA80</f>
        <v>3000</v>
      </c>
      <c r="CC84" s="139">
        <f>CC80</f>
        <v>0</v>
      </c>
      <c r="CD84" s="139">
        <f>CD80</f>
        <v>3000</v>
      </c>
      <c r="CF84" s="139">
        <f>CF80</f>
        <v>0</v>
      </c>
      <c r="CG84" s="139">
        <f>CG80</f>
        <v>3000</v>
      </c>
      <c r="CI84" s="139">
        <f>CI80</f>
        <v>0</v>
      </c>
      <c r="CJ84" s="139">
        <f>CJ80</f>
        <v>3000</v>
      </c>
      <c r="CL84" s="391">
        <f>CL80</f>
        <v>0</v>
      </c>
      <c r="CM84" s="139">
        <f>CM80</f>
        <v>3000</v>
      </c>
      <c r="CO84" s="139">
        <f>CO80</f>
        <v>0</v>
      </c>
      <c r="CP84" s="139">
        <f>CP80</f>
        <v>3000</v>
      </c>
      <c r="CR84" s="139">
        <f>CR80</f>
        <v>0</v>
      </c>
      <c r="CS84" s="139">
        <f>CS80</f>
        <v>3000</v>
      </c>
      <c r="CU84" s="139">
        <f>CU80</f>
        <v>-500</v>
      </c>
      <c r="CV84" s="139">
        <f>CV80</f>
        <v>2500</v>
      </c>
      <c r="CX84" s="139">
        <f>CX80</f>
        <v>0</v>
      </c>
      <c r="CY84" s="139">
        <f>CY80</f>
        <v>2500</v>
      </c>
      <c r="DA84" s="139">
        <f>DA80</f>
        <v>2449</v>
      </c>
      <c r="DC84" s="139">
        <f>DC80</f>
        <v>40000</v>
      </c>
    </row>
    <row r="85" spans="1:107" ht="16.5" thickTop="1" thickBot="1">
      <c r="A85" s="91" t="s">
        <v>167</v>
      </c>
      <c r="B85" s="92" t="s">
        <v>281</v>
      </c>
      <c r="C85" s="340" t="s">
        <v>168</v>
      </c>
      <c r="D85" s="189"/>
      <c r="E85" s="190"/>
      <c r="F85" s="189"/>
      <c r="G85" s="190"/>
      <c r="H85" s="189"/>
      <c r="I85" s="189"/>
      <c r="J85" s="191"/>
      <c r="K85" s="192"/>
      <c r="L85" s="429"/>
      <c r="M85" s="430"/>
      <c r="N85" s="430"/>
      <c r="Q85" s="429"/>
      <c r="R85" s="429"/>
      <c r="S85" s="429"/>
      <c r="T85" s="429"/>
      <c r="U85" s="175"/>
      <c r="Y85" s="429"/>
      <c r="AA85" s="429"/>
      <c r="AB85" s="429"/>
      <c r="AE85" s="429"/>
      <c r="AF85" s="213"/>
      <c r="AH85" s="429"/>
      <c r="AI85" s="20"/>
      <c r="AK85" s="429"/>
      <c r="AL85" s="229"/>
      <c r="AM85" s="20"/>
      <c r="AN85" s="20"/>
      <c r="AS85" s="429"/>
      <c r="AU85" s="429"/>
      <c r="AV85" s="429"/>
      <c r="AX85" s="429"/>
      <c r="AY85" s="429"/>
      <c r="BA85" s="429"/>
      <c r="BB85" s="429"/>
      <c r="BD85" s="429"/>
      <c r="BE85" s="429"/>
      <c r="BG85" s="429"/>
      <c r="BH85" s="429"/>
      <c r="BJ85" s="429"/>
      <c r="BK85" s="401"/>
      <c r="BM85" s="429"/>
      <c r="BN85" s="401"/>
      <c r="BO85" s="401"/>
      <c r="BQ85" s="429"/>
      <c r="BR85" s="429"/>
      <c r="BT85" s="429"/>
      <c r="BU85" s="429"/>
      <c r="BW85" s="429"/>
      <c r="BX85" s="429"/>
      <c r="BZ85" s="429"/>
      <c r="CA85" s="429"/>
      <c r="CC85" s="429"/>
      <c r="CD85" s="429"/>
      <c r="CF85" s="429"/>
      <c r="CG85" s="429"/>
      <c r="CI85" s="429"/>
      <c r="CJ85" s="429"/>
      <c r="CL85" s="137"/>
      <c r="CM85" s="429"/>
      <c r="CO85" s="429"/>
      <c r="CP85" s="429"/>
      <c r="CR85" s="429"/>
      <c r="CS85" s="429"/>
      <c r="CU85" s="429"/>
      <c r="CV85" s="429"/>
      <c r="CX85" s="429"/>
      <c r="CY85" s="429"/>
      <c r="DA85" s="137"/>
      <c r="DC85" s="140">
        <f>DC81</f>
        <v>378000</v>
      </c>
    </row>
    <row r="86" spans="1:107" ht="15.75" outlineLevel="1" thickTop="1">
      <c r="A86" s="14" t="s">
        <v>169</v>
      </c>
      <c r="B86" s="14" t="s">
        <v>148</v>
      </c>
      <c r="C86" s="4" t="s">
        <v>149</v>
      </c>
      <c r="D86" s="52">
        <v>2000</v>
      </c>
      <c r="E86" s="37">
        <v>0</v>
      </c>
      <c r="F86" s="52">
        <v>2000</v>
      </c>
      <c r="G86" s="37">
        <v>0</v>
      </c>
      <c r="H86" s="56">
        <v>0</v>
      </c>
      <c r="I86" s="40">
        <v>0</v>
      </c>
      <c r="J86" s="17"/>
      <c r="L86" s="134">
        <v>1000</v>
      </c>
      <c r="M86" s="20">
        <f t="shared" si="160"/>
        <v>-0.5</v>
      </c>
      <c r="N86" s="20" t="e">
        <f t="shared" si="161"/>
        <v>#DIV/0!</v>
      </c>
      <c r="Q86" s="134">
        <v>1000</v>
      </c>
      <c r="R86" s="18">
        <v>0</v>
      </c>
      <c r="S86" s="134">
        <v>1000</v>
      </c>
      <c r="T86" s="18">
        <f t="shared" ref="T86:T94" si="174">S86-Q86</f>
        <v>0</v>
      </c>
      <c r="U86" s="19">
        <f t="shared" ref="U86:U94" si="175">S86/Q86-1</f>
        <v>0</v>
      </c>
      <c r="Y86" s="134">
        <v>1000</v>
      </c>
      <c r="AA86" s="134">
        <v>0</v>
      </c>
      <c r="AB86" s="216">
        <f t="shared" ref="AB86:AB94" si="176">AA86-Y86</f>
        <v>-1000</v>
      </c>
      <c r="AC86" s="219">
        <f t="shared" ref="AC86:AC94" si="177">AA86-Y86</f>
        <v>-1000</v>
      </c>
      <c r="AD86" s="219"/>
      <c r="AE86" s="134">
        <v>0</v>
      </c>
      <c r="AF86" s="213"/>
      <c r="AH86" s="18">
        <v>0</v>
      </c>
      <c r="AK86" s="134">
        <v>0</v>
      </c>
      <c r="AS86" s="18">
        <f t="shared" ref="AS86:AS94" si="178">AR86+AK86</f>
        <v>0</v>
      </c>
      <c r="AV86" s="18">
        <f t="shared" ref="AV86:AV94" si="179">AS86+AU86</f>
        <v>0</v>
      </c>
      <c r="AX86" s="18"/>
      <c r="AY86" s="18">
        <f t="shared" ref="AY86:AY94" si="180">AV86+AX86</f>
        <v>0</v>
      </c>
      <c r="BB86" s="18">
        <f t="shared" ref="BB86:BB94" si="181">AY86+BA86</f>
        <v>0</v>
      </c>
      <c r="BD86" s="18"/>
      <c r="BE86" s="18">
        <f t="shared" ref="BE86:BE94" si="182">BB86+BD86</f>
        <v>0</v>
      </c>
      <c r="BG86" s="18"/>
      <c r="BH86" s="18">
        <f t="shared" ref="BH86:BH94" si="183">BE86+BG86</f>
        <v>0</v>
      </c>
      <c r="BM86" s="289"/>
      <c r="BQ86" s="289"/>
      <c r="BR86" s="289"/>
      <c r="BT86" s="289"/>
      <c r="BU86" s="289"/>
      <c r="BW86" s="289"/>
      <c r="BX86" s="289"/>
      <c r="BZ86" s="289"/>
      <c r="CA86" s="289"/>
      <c r="CC86" s="289"/>
      <c r="CD86" s="289"/>
      <c r="CF86" s="289"/>
      <c r="CG86" s="289"/>
      <c r="CI86" s="289"/>
      <c r="CJ86" s="289"/>
      <c r="CM86" s="289"/>
      <c r="CP86" s="289"/>
      <c r="CR86" s="327"/>
      <c r="CS86" s="289"/>
      <c r="CU86" s="327"/>
      <c r="CV86" s="289"/>
      <c r="CX86" s="327"/>
      <c r="CY86" s="289"/>
      <c r="DA86" s="327"/>
      <c r="DC86" s="327"/>
    </row>
    <row r="87" spans="1:107" outlineLevel="1">
      <c r="A87" s="14" t="s">
        <v>169</v>
      </c>
      <c r="B87" s="14" t="s">
        <v>159</v>
      </c>
      <c r="C87" s="4" t="s">
        <v>160</v>
      </c>
      <c r="D87" s="52">
        <v>2100</v>
      </c>
      <c r="E87" s="37">
        <v>22.86</v>
      </c>
      <c r="F87" s="52">
        <v>2100</v>
      </c>
      <c r="G87" s="37">
        <v>22.86</v>
      </c>
      <c r="H87" s="56">
        <v>480</v>
      </c>
      <c r="I87" s="39">
        <v>1000</v>
      </c>
      <c r="K87" t="s">
        <v>336</v>
      </c>
      <c r="L87" s="134">
        <v>2500</v>
      </c>
      <c r="M87" s="20">
        <f t="shared" si="160"/>
        <v>0.19047619047619047</v>
      </c>
      <c r="N87" s="20">
        <f t="shared" si="161"/>
        <v>1.5</v>
      </c>
      <c r="Q87" s="134">
        <v>2500</v>
      </c>
      <c r="R87" s="18">
        <v>732</v>
      </c>
      <c r="S87" s="134">
        <v>1500</v>
      </c>
      <c r="T87" s="18">
        <f t="shared" si="174"/>
        <v>-1000</v>
      </c>
      <c r="U87" s="19">
        <f t="shared" si="175"/>
        <v>-0.4</v>
      </c>
      <c r="Y87" s="134">
        <v>1500</v>
      </c>
      <c r="AA87" s="134">
        <v>1500</v>
      </c>
      <c r="AB87" s="216">
        <f t="shared" si="176"/>
        <v>0</v>
      </c>
      <c r="AC87" s="219">
        <f t="shared" si="177"/>
        <v>0</v>
      </c>
      <c r="AD87" s="219"/>
      <c r="AE87" s="134">
        <v>3100</v>
      </c>
      <c r="AF87" s="213">
        <f t="shared" si="162"/>
        <v>1600</v>
      </c>
      <c r="AH87" s="18">
        <v>3008</v>
      </c>
      <c r="AI87" s="20">
        <f t="shared" ref="AI87:AI89" si="184">AH87/AE87</f>
        <v>0.9703225806451613</v>
      </c>
      <c r="AK87" s="134">
        <v>3100</v>
      </c>
      <c r="AS87" s="18">
        <f t="shared" si="178"/>
        <v>3100</v>
      </c>
      <c r="AV87" s="18">
        <f t="shared" si="179"/>
        <v>3100</v>
      </c>
      <c r="AX87" s="18"/>
      <c r="AY87" s="18">
        <f t="shared" si="180"/>
        <v>3100</v>
      </c>
      <c r="BB87" s="18">
        <f t="shared" si="181"/>
        <v>3100</v>
      </c>
      <c r="BD87" s="18">
        <v>-1500</v>
      </c>
      <c r="BE87" s="18">
        <f t="shared" si="182"/>
        <v>1600</v>
      </c>
      <c r="BG87" s="18">
        <v>5000</v>
      </c>
      <c r="BH87" s="18">
        <f t="shared" si="183"/>
        <v>6600</v>
      </c>
      <c r="BJ87" s="18">
        <v>6248</v>
      </c>
      <c r="BK87" s="279">
        <f t="shared" ref="BK87:BK89" si="185">BJ87/BH87</f>
        <v>0.94666666666666666</v>
      </c>
      <c r="BM87" s="289">
        <f>2*1250+3500</f>
        <v>6000</v>
      </c>
      <c r="BN87" s="279">
        <f t="shared" ref="BN87:BN94" si="186">BM87/BJ87</f>
        <v>0.96030729833546735</v>
      </c>
      <c r="BO87" s="279">
        <f t="shared" ref="BO87:BO94" si="187">BM87/BH87</f>
        <v>0.90909090909090906</v>
      </c>
      <c r="BQ87" s="289"/>
      <c r="BR87" s="18">
        <f t="shared" ref="BR87:BR89" si="188">BM87+BQ87</f>
        <v>6000</v>
      </c>
      <c r="BT87" s="289"/>
      <c r="BU87" s="18">
        <f>BR87+BT87</f>
        <v>6000</v>
      </c>
      <c r="BW87" s="289"/>
      <c r="BX87" s="18">
        <f>BU87+BW87</f>
        <v>6000</v>
      </c>
      <c r="BZ87" s="289"/>
      <c r="CA87" s="18">
        <f>BX87+BZ87</f>
        <v>6000</v>
      </c>
      <c r="CC87" s="289"/>
      <c r="CD87" s="18">
        <f>CA87+CC87</f>
        <v>6000</v>
      </c>
      <c r="CF87" s="289"/>
      <c r="CG87" s="18">
        <f>CD87+CF87</f>
        <v>6000</v>
      </c>
      <c r="CI87" s="289"/>
      <c r="CJ87" s="18">
        <f>CG87+CI87</f>
        <v>6000</v>
      </c>
      <c r="CM87" s="18">
        <f>CJ87+CL87</f>
        <v>6000</v>
      </c>
      <c r="CO87" s="327">
        <v>-3000</v>
      </c>
      <c r="CP87" s="18">
        <f>CM87+CO87</f>
        <v>3000</v>
      </c>
      <c r="CR87" s="327"/>
      <c r="CS87" s="18">
        <f>CP87+CR87</f>
        <v>3000</v>
      </c>
      <c r="CU87" s="349">
        <v>-1000</v>
      </c>
      <c r="CV87" s="18">
        <f>CS87+CU87</f>
        <v>2000</v>
      </c>
      <c r="CX87" s="349"/>
      <c r="CY87" s="18">
        <f>CV87+CX87</f>
        <v>2000</v>
      </c>
      <c r="DA87" s="327">
        <v>1997</v>
      </c>
      <c r="DC87" s="327">
        <v>2000</v>
      </c>
    </row>
    <row r="88" spans="1:107" outlineLevel="1">
      <c r="A88" s="14" t="s">
        <v>169</v>
      </c>
      <c r="B88" s="14" t="s">
        <v>161</v>
      </c>
      <c r="C88" s="4" t="s">
        <v>162</v>
      </c>
      <c r="D88" s="52">
        <v>67000</v>
      </c>
      <c r="E88" s="37">
        <v>17.93</v>
      </c>
      <c r="F88" s="52">
        <v>67000</v>
      </c>
      <c r="G88" s="37">
        <v>17.93</v>
      </c>
      <c r="H88" s="56">
        <v>12010</v>
      </c>
      <c r="I88" s="40">
        <v>40000</v>
      </c>
      <c r="J88" s="17"/>
      <c r="K88" t="s">
        <v>336</v>
      </c>
      <c r="L88" s="143">
        <v>48800</v>
      </c>
      <c r="M88" s="20">
        <f t="shared" si="160"/>
        <v>-0.27164179104477615</v>
      </c>
      <c r="N88" s="20">
        <f t="shared" si="161"/>
        <v>0.21999999999999997</v>
      </c>
      <c r="Q88" s="134">
        <v>48800</v>
      </c>
      <c r="R88" s="18">
        <v>6224</v>
      </c>
      <c r="S88" s="134">
        <v>30000</v>
      </c>
      <c r="T88" s="18">
        <f t="shared" si="174"/>
        <v>-18800</v>
      </c>
      <c r="U88" s="19">
        <f t="shared" si="175"/>
        <v>-0.38524590163934425</v>
      </c>
      <c r="Y88" s="134">
        <v>30000</v>
      </c>
      <c r="AA88" s="134">
        <v>25000</v>
      </c>
      <c r="AB88" s="216">
        <f t="shared" si="176"/>
        <v>-5000</v>
      </c>
      <c r="AC88" s="219">
        <f t="shared" si="177"/>
        <v>-5000</v>
      </c>
      <c r="AD88" s="219"/>
      <c r="AE88" s="134">
        <v>25000</v>
      </c>
      <c r="AF88" s="213"/>
      <c r="AH88" s="18">
        <v>23224.32</v>
      </c>
      <c r="AI88" s="20">
        <f t="shared" si="184"/>
        <v>0.92897280000000004</v>
      </c>
      <c r="AK88" s="134">
        <v>25000</v>
      </c>
      <c r="AS88" s="18">
        <f t="shared" si="178"/>
        <v>25000</v>
      </c>
      <c r="AV88" s="18">
        <f t="shared" si="179"/>
        <v>25000</v>
      </c>
      <c r="AX88" s="18"/>
      <c r="AY88" s="18">
        <f t="shared" si="180"/>
        <v>25000</v>
      </c>
      <c r="BB88" s="18">
        <f t="shared" si="181"/>
        <v>25000</v>
      </c>
      <c r="BD88" s="18"/>
      <c r="BE88" s="18">
        <f t="shared" si="182"/>
        <v>25000</v>
      </c>
      <c r="BG88" s="18">
        <v>1500</v>
      </c>
      <c r="BH88" s="18">
        <f t="shared" si="183"/>
        <v>26500</v>
      </c>
      <c r="BJ88" s="18">
        <v>26263.33</v>
      </c>
      <c r="BK88" s="279">
        <f t="shared" si="185"/>
        <v>0.99106905660377365</v>
      </c>
      <c r="BM88" s="292">
        <f>12*7100</f>
        <v>85200</v>
      </c>
      <c r="BN88" s="279">
        <f t="shared" si="186"/>
        <v>3.2440669176376336</v>
      </c>
      <c r="BO88" s="279">
        <f t="shared" si="187"/>
        <v>3.2150943396226417</v>
      </c>
      <c r="BQ88" s="289"/>
      <c r="BR88" s="18">
        <f t="shared" si="188"/>
        <v>85200</v>
      </c>
      <c r="BT88" s="289"/>
      <c r="BU88" s="18">
        <f>BR88+BT88</f>
        <v>85200</v>
      </c>
      <c r="BW88" s="289"/>
      <c r="BX88" s="18">
        <f>BU88+BW88</f>
        <v>85200</v>
      </c>
      <c r="BZ88" s="289"/>
      <c r="CA88" s="18">
        <f>BX88+BZ88</f>
        <v>85200</v>
      </c>
      <c r="CC88" s="289"/>
      <c r="CD88" s="18">
        <f>CA88+CC88</f>
        <v>85200</v>
      </c>
      <c r="CF88" s="289"/>
      <c r="CG88" s="18">
        <f>CD88+CF88</f>
        <v>85200</v>
      </c>
      <c r="CI88" s="289"/>
      <c r="CJ88" s="18">
        <f>CG88+CI88</f>
        <v>85200</v>
      </c>
      <c r="CL88" s="327">
        <v>10000</v>
      </c>
      <c r="CM88" s="18">
        <f>CJ88+CL88</f>
        <v>95200</v>
      </c>
      <c r="CO88" s="327">
        <v>10000</v>
      </c>
      <c r="CP88" s="18">
        <f>CM88+CO88</f>
        <v>105200</v>
      </c>
      <c r="CR88" s="327"/>
      <c r="CS88" s="18">
        <f>CP88+CR88</f>
        <v>105200</v>
      </c>
      <c r="CU88" s="349">
        <v>8800</v>
      </c>
      <c r="CV88" s="18">
        <f>CS88+CU88</f>
        <v>114000</v>
      </c>
      <c r="CX88" s="349"/>
      <c r="CY88" s="18">
        <f>CV88+CX88</f>
        <v>114000</v>
      </c>
      <c r="DA88" s="327">
        <v>113862</v>
      </c>
      <c r="DC88" s="327">
        <v>110000</v>
      </c>
    </row>
    <row r="89" spans="1:107" outlineLevel="1">
      <c r="A89" s="14" t="s">
        <v>169</v>
      </c>
      <c r="B89" s="14" t="s">
        <v>163</v>
      </c>
      <c r="C89" s="4" t="s">
        <v>164</v>
      </c>
      <c r="D89" s="52">
        <v>5500</v>
      </c>
      <c r="E89" s="37">
        <v>86.33</v>
      </c>
      <c r="F89" s="52">
        <v>5500</v>
      </c>
      <c r="G89" s="37">
        <v>86.33</v>
      </c>
      <c r="H89" s="56">
        <v>4747.8900000000003</v>
      </c>
      <c r="I89" s="40">
        <v>6000</v>
      </c>
      <c r="J89" s="17"/>
      <c r="K89" t="s">
        <v>336</v>
      </c>
      <c r="L89" s="143">
        <v>8000</v>
      </c>
      <c r="M89" s="20">
        <f t="shared" si="160"/>
        <v>0.45454545454545459</v>
      </c>
      <c r="N89" s="20">
        <f t="shared" si="161"/>
        <v>0.33333333333333326</v>
      </c>
      <c r="Q89" s="134">
        <v>8000</v>
      </c>
      <c r="R89" s="18">
        <v>3008</v>
      </c>
      <c r="S89" s="134">
        <v>7000</v>
      </c>
      <c r="T89" s="18">
        <f t="shared" si="174"/>
        <v>-1000</v>
      </c>
      <c r="U89" s="19">
        <f t="shared" si="175"/>
        <v>-0.125</v>
      </c>
      <c r="Y89" s="134">
        <v>7000</v>
      </c>
      <c r="AA89" s="134">
        <v>7000</v>
      </c>
      <c r="AB89" s="216">
        <f t="shared" si="176"/>
        <v>0</v>
      </c>
      <c r="AC89" s="219">
        <f t="shared" si="177"/>
        <v>0</v>
      </c>
      <c r="AD89" s="219"/>
      <c r="AE89" s="134">
        <v>7000</v>
      </c>
      <c r="AF89" s="213"/>
      <c r="AH89" s="18">
        <v>5929.1</v>
      </c>
      <c r="AI89" s="20">
        <f t="shared" si="184"/>
        <v>0.84701428571428572</v>
      </c>
      <c r="AK89" s="134">
        <v>6100</v>
      </c>
      <c r="AS89" s="18">
        <f t="shared" si="178"/>
        <v>6100</v>
      </c>
      <c r="AV89" s="18">
        <f t="shared" si="179"/>
        <v>6100</v>
      </c>
      <c r="AX89" s="18"/>
      <c r="AY89" s="18">
        <f t="shared" si="180"/>
        <v>6100</v>
      </c>
      <c r="BB89" s="18">
        <f t="shared" si="181"/>
        <v>6100</v>
      </c>
      <c r="BD89" s="18">
        <v>2900</v>
      </c>
      <c r="BE89" s="18">
        <f t="shared" si="182"/>
        <v>9000</v>
      </c>
      <c r="BG89" s="18"/>
      <c r="BH89" s="18">
        <f t="shared" si="183"/>
        <v>9000</v>
      </c>
      <c r="BJ89" s="18">
        <v>5210</v>
      </c>
      <c r="BK89" s="279">
        <f t="shared" si="185"/>
        <v>0.5788888888888889</v>
      </c>
      <c r="BM89" s="292">
        <f>850*12</f>
        <v>10200</v>
      </c>
      <c r="BN89" s="279">
        <f t="shared" si="186"/>
        <v>1.9577735124760076</v>
      </c>
      <c r="BO89" s="279">
        <f t="shared" si="187"/>
        <v>1.1333333333333333</v>
      </c>
      <c r="BQ89" s="289"/>
      <c r="BR89" s="18">
        <f t="shared" si="188"/>
        <v>10200</v>
      </c>
      <c r="BT89" s="289"/>
      <c r="BU89" s="18">
        <f>BR89+BT89</f>
        <v>10200</v>
      </c>
      <c r="BW89" s="289"/>
      <c r="BX89" s="18">
        <f>BU89+BW89</f>
        <v>10200</v>
      </c>
      <c r="BZ89" s="289"/>
      <c r="CA89" s="18">
        <f>BX89+BZ89</f>
        <v>10200</v>
      </c>
      <c r="CC89" s="289"/>
      <c r="CD89" s="18">
        <f>CA89+CC89</f>
        <v>10200</v>
      </c>
      <c r="CF89" s="289"/>
      <c r="CG89" s="18">
        <f>CD89+CF89</f>
        <v>10200</v>
      </c>
      <c r="CI89" s="289"/>
      <c r="CJ89" s="18">
        <f>CG89+CI89</f>
        <v>10200</v>
      </c>
      <c r="CM89" s="18">
        <f>CJ89+CL89</f>
        <v>10200</v>
      </c>
      <c r="CO89" s="327">
        <v>3000</v>
      </c>
      <c r="CP89" s="18">
        <f>CM89+CO89</f>
        <v>13200</v>
      </c>
      <c r="CR89" s="327"/>
      <c r="CS89" s="18">
        <f>CP89+CR89</f>
        <v>13200</v>
      </c>
      <c r="CU89" s="349">
        <v>-2000</v>
      </c>
      <c r="CV89" s="18">
        <f>CS89+CU89</f>
        <v>11200</v>
      </c>
      <c r="CX89" s="349"/>
      <c r="CY89" s="18">
        <f>CV89+CX89</f>
        <v>11200</v>
      </c>
      <c r="DA89" s="327">
        <v>11097.8</v>
      </c>
      <c r="DC89" s="327">
        <v>11000</v>
      </c>
    </row>
    <row r="90" spans="1:107" outlineLevel="1">
      <c r="A90" s="14" t="s">
        <v>169</v>
      </c>
      <c r="B90" s="14" t="s">
        <v>117</v>
      </c>
      <c r="C90" s="4" t="s">
        <v>118</v>
      </c>
      <c r="D90" s="52">
        <v>0</v>
      </c>
      <c r="E90" s="37">
        <v>0</v>
      </c>
      <c r="F90" s="52">
        <v>1000</v>
      </c>
      <c r="G90" s="37">
        <v>95</v>
      </c>
      <c r="H90" s="56">
        <v>950</v>
      </c>
      <c r="I90" s="40">
        <v>950</v>
      </c>
      <c r="J90" s="17"/>
      <c r="L90" s="134">
        <v>1000</v>
      </c>
      <c r="M90" s="20">
        <f t="shared" si="160"/>
        <v>0</v>
      </c>
      <c r="N90" s="20">
        <f t="shared" si="161"/>
        <v>5.2631578947368363E-2</v>
      </c>
      <c r="Q90" s="134">
        <v>1000</v>
      </c>
      <c r="R90" s="18">
        <v>0</v>
      </c>
      <c r="S90" s="134">
        <v>1000</v>
      </c>
      <c r="T90" s="18">
        <f t="shared" si="174"/>
        <v>0</v>
      </c>
      <c r="U90" s="19">
        <f t="shared" si="175"/>
        <v>0</v>
      </c>
      <c r="Y90" s="134">
        <v>1000</v>
      </c>
      <c r="AA90" s="134">
        <v>0</v>
      </c>
      <c r="AB90" s="216">
        <f t="shared" si="176"/>
        <v>-1000</v>
      </c>
      <c r="AC90" s="219">
        <f t="shared" si="177"/>
        <v>-1000</v>
      </c>
      <c r="AD90" s="219"/>
      <c r="AE90" s="134">
        <v>0</v>
      </c>
      <c r="AF90" s="213"/>
      <c r="AH90" s="18">
        <v>0</v>
      </c>
      <c r="AK90" s="134">
        <v>0</v>
      </c>
      <c r="AS90" s="18">
        <f t="shared" si="178"/>
        <v>0</v>
      </c>
      <c r="AV90" s="18">
        <f t="shared" si="179"/>
        <v>0</v>
      </c>
      <c r="AX90" s="18"/>
      <c r="AY90" s="18">
        <f t="shared" si="180"/>
        <v>0</v>
      </c>
      <c r="BB90" s="18">
        <f t="shared" si="181"/>
        <v>0</v>
      </c>
      <c r="BD90" s="18"/>
      <c r="BE90" s="18">
        <f t="shared" si="182"/>
        <v>0</v>
      </c>
      <c r="BG90" s="18"/>
      <c r="BH90" s="18">
        <f t="shared" si="183"/>
        <v>0</v>
      </c>
      <c r="BM90" s="289"/>
      <c r="BN90" s="279" t="e">
        <f t="shared" si="186"/>
        <v>#DIV/0!</v>
      </c>
      <c r="BO90" s="279" t="e">
        <f t="shared" si="187"/>
        <v>#DIV/0!</v>
      </c>
      <c r="BQ90" s="289"/>
      <c r="BR90" s="289"/>
      <c r="BT90" s="289"/>
      <c r="BU90" s="289"/>
      <c r="BW90" s="289"/>
      <c r="BX90" s="289"/>
      <c r="BZ90" s="289"/>
      <c r="CA90" s="289"/>
      <c r="CC90" s="289"/>
      <c r="CD90" s="289"/>
      <c r="CF90" s="289"/>
      <c r="CG90" s="289"/>
      <c r="CI90" s="289"/>
      <c r="CJ90" s="289"/>
      <c r="CM90" s="289"/>
      <c r="CO90" s="327"/>
      <c r="CP90" s="289"/>
      <c r="CR90" s="327"/>
      <c r="CS90" s="289"/>
      <c r="CU90" s="327"/>
      <c r="CV90" s="289"/>
      <c r="CX90" s="327"/>
      <c r="CY90" s="289"/>
      <c r="DA90" s="327"/>
      <c r="DC90" s="327"/>
    </row>
    <row r="91" spans="1:107" outlineLevel="1">
      <c r="A91" s="14" t="s">
        <v>169</v>
      </c>
      <c r="B91" s="14" t="s">
        <v>119</v>
      </c>
      <c r="C91" s="4" t="s">
        <v>120</v>
      </c>
      <c r="D91" s="52">
        <v>0</v>
      </c>
      <c r="E91" s="37">
        <v>0</v>
      </c>
      <c r="F91" s="52">
        <v>2393</v>
      </c>
      <c r="G91" s="37">
        <v>100</v>
      </c>
      <c r="H91" s="56">
        <v>2393</v>
      </c>
      <c r="I91" s="40">
        <v>4000</v>
      </c>
      <c r="J91" s="17"/>
      <c r="L91" s="134">
        <v>5000</v>
      </c>
      <c r="M91" s="20">
        <f t="shared" si="160"/>
        <v>1.0894274968658588</v>
      </c>
      <c r="N91" s="20">
        <f t="shared" si="161"/>
        <v>0.25</v>
      </c>
      <c r="Q91" s="134">
        <v>5000</v>
      </c>
      <c r="R91" s="18">
        <v>484</v>
      </c>
      <c r="S91" s="134">
        <v>3000</v>
      </c>
      <c r="T91" s="18">
        <f t="shared" si="174"/>
        <v>-2000</v>
      </c>
      <c r="U91" s="19">
        <f t="shared" si="175"/>
        <v>-0.4</v>
      </c>
      <c r="Y91" s="134">
        <v>3000</v>
      </c>
      <c r="AA91" s="134">
        <v>3000</v>
      </c>
      <c r="AB91" s="216">
        <f t="shared" si="176"/>
        <v>0</v>
      </c>
      <c r="AC91" s="219">
        <f t="shared" si="177"/>
        <v>0</v>
      </c>
      <c r="AD91" s="219"/>
      <c r="AE91" s="134">
        <v>3000</v>
      </c>
      <c r="AF91" s="213"/>
      <c r="AH91" s="18">
        <v>2565</v>
      </c>
      <c r="AI91" s="20">
        <f t="shared" ref="AI91:AI94" si="189">AH91/AE91</f>
        <v>0.85499999999999998</v>
      </c>
      <c r="AK91" s="134">
        <v>4000</v>
      </c>
      <c r="AS91" s="18">
        <f t="shared" si="178"/>
        <v>4000</v>
      </c>
      <c r="AV91" s="18">
        <f t="shared" si="179"/>
        <v>4000</v>
      </c>
      <c r="AX91" s="18"/>
      <c r="AY91" s="18">
        <f t="shared" si="180"/>
        <v>4000</v>
      </c>
      <c r="BB91" s="18">
        <f t="shared" si="181"/>
        <v>4000</v>
      </c>
      <c r="BD91" s="18">
        <v>-2000</v>
      </c>
      <c r="BE91" s="18">
        <f t="shared" si="182"/>
        <v>2000</v>
      </c>
      <c r="BG91" s="18"/>
      <c r="BH91" s="18">
        <f t="shared" si="183"/>
        <v>2000</v>
      </c>
      <c r="BJ91" s="18">
        <v>950</v>
      </c>
      <c r="BK91" s="279">
        <f t="shared" ref="BK91" si="190">BJ91/BH91</f>
        <v>0.47499999999999998</v>
      </c>
      <c r="BM91" s="289">
        <v>1000</v>
      </c>
      <c r="BN91" s="279">
        <f t="shared" si="186"/>
        <v>1.0526315789473684</v>
      </c>
      <c r="BO91" s="279">
        <f t="shared" si="187"/>
        <v>0.5</v>
      </c>
      <c r="BQ91" s="289"/>
      <c r="BR91" s="18">
        <f t="shared" ref="BR91:BR94" si="191">BM91+BQ91</f>
        <v>1000</v>
      </c>
      <c r="BT91" s="289"/>
      <c r="BU91" s="18">
        <f>BR91+BT91</f>
        <v>1000</v>
      </c>
      <c r="BW91" s="289"/>
      <c r="BX91" s="18">
        <f>BU91+BW91</f>
        <v>1000</v>
      </c>
      <c r="BZ91" s="289"/>
      <c r="CA91" s="18">
        <f>BX91+BZ91</f>
        <v>1000</v>
      </c>
      <c r="CC91" s="289"/>
      <c r="CD91" s="18">
        <f>CA91+CC91</f>
        <v>1000</v>
      </c>
      <c r="CF91" s="289"/>
      <c r="CG91" s="18">
        <f>CD91+CF91</f>
        <v>1000</v>
      </c>
      <c r="CI91" s="289"/>
      <c r="CJ91" s="18">
        <f>CG91+CI91</f>
        <v>1000</v>
      </c>
      <c r="CM91" s="18">
        <f>CJ91+CL91</f>
        <v>1000</v>
      </c>
      <c r="CO91" s="327"/>
      <c r="CP91" s="18">
        <f>CM91+CO91</f>
        <v>1000</v>
      </c>
      <c r="CR91" s="327"/>
      <c r="CS91" s="18">
        <f>CP91+CR91</f>
        <v>1000</v>
      </c>
      <c r="CU91" s="349">
        <v>-1000</v>
      </c>
      <c r="CV91" s="18">
        <f>CS91+CU91</f>
        <v>0</v>
      </c>
      <c r="CX91" s="349"/>
      <c r="CY91" s="18">
        <f>CV91+CX91</f>
        <v>0</v>
      </c>
      <c r="DA91" s="327"/>
      <c r="DC91" s="327">
        <v>2000</v>
      </c>
    </row>
    <row r="92" spans="1:107" outlineLevel="1">
      <c r="A92" s="14" t="s">
        <v>169</v>
      </c>
      <c r="B92" s="14" t="s">
        <v>150</v>
      </c>
      <c r="C92" s="4" t="s">
        <v>151</v>
      </c>
      <c r="D92" s="52">
        <v>0</v>
      </c>
      <c r="E92" s="37">
        <v>0</v>
      </c>
      <c r="F92" s="52">
        <v>504</v>
      </c>
      <c r="G92" s="37">
        <v>100</v>
      </c>
      <c r="H92" s="56">
        <v>504</v>
      </c>
      <c r="I92" s="40">
        <v>504</v>
      </c>
      <c r="J92" s="17"/>
      <c r="L92" s="134">
        <v>500</v>
      </c>
      <c r="M92" s="20">
        <f t="shared" si="160"/>
        <v>-7.9365079365079083E-3</v>
      </c>
      <c r="N92" s="20">
        <f t="shared" si="161"/>
        <v>-7.9365079365079083E-3</v>
      </c>
      <c r="Q92" s="134">
        <v>500</v>
      </c>
      <c r="R92" s="18">
        <v>0</v>
      </c>
      <c r="S92" s="134">
        <v>0</v>
      </c>
      <c r="T92" s="18">
        <f t="shared" si="174"/>
        <v>-500</v>
      </c>
      <c r="U92" s="19">
        <f t="shared" si="175"/>
        <v>-1</v>
      </c>
      <c r="Y92" s="134">
        <v>600</v>
      </c>
      <c r="AA92" s="134">
        <v>600</v>
      </c>
      <c r="AB92" s="216">
        <f t="shared" si="176"/>
        <v>0</v>
      </c>
      <c r="AC92" s="219">
        <f t="shared" si="177"/>
        <v>0</v>
      </c>
      <c r="AD92" s="219"/>
      <c r="AE92" s="134">
        <v>600</v>
      </c>
      <c r="AF92" s="213"/>
      <c r="AH92" s="18">
        <v>528</v>
      </c>
      <c r="AI92" s="20">
        <f t="shared" si="189"/>
        <v>0.88</v>
      </c>
      <c r="AK92" s="134">
        <v>500</v>
      </c>
      <c r="AS92" s="18">
        <f t="shared" si="178"/>
        <v>500</v>
      </c>
      <c r="AV92" s="18">
        <f t="shared" si="179"/>
        <v>500</v>
      </c>
      <c r="AX92" s="18"/>
      <c r="AY92" s="18">
        <f t="shared" si="180"/>
        <v>500</v>
      </c>
      <c r="BB92" s="18">
        <f t="shared" si="181"/>
        <v>500</v>
      </c>
      <c r="BD92" s="18"/>
      <c r="BE92" s="18">
        <f t="shared" si="182"/>
        <v>500</v>
      </c>
      <c r="BG92" s="18">
        <v>-500</v>
      </c>
      <c r="BH92" s="18">
        <f t="shared" si="183"/>
        <v>0</v>
      </c>
      <c r="BJ92" s="18">
        <v>0</v>
      </c>
      <c r="BM92" s="289">
        <v>0</v>
      </c>
      <c r="BN92" s="279" t="e">
        <f t="shared" si="186"/>
        <v>#DIV/0!</v>
      </c>
      <c r="BO92" s="279" t="e">
        <f t="shared" si="187"/>
        <v>#DIV/0!</v>
      </c>
      <c r="BQ92" s="289"/>
      <c r="BR92" s="18">
        <f t="shared" si="191"/>
        <v>0</v>
      </c>
      <c r="BT92" s="289"/>
      <c r="BU92" s="18">
        <f>BR92+BT92</f>
        <v>0</v>
      </c>
      <c r="BW92" s="289"/>
      <c r="BX92" s="18">
        <f>BU92+BW92</f>
        <v>0</v>
      </c>
      <c r="BZ92" s="289"/>
      <c r="CA92" s="18">
        <f>BX92+BZ92</f>
        <v>0</v>
      </c>
      <c r="CC92" s="289"/>
      <c r="CD92" s="18">
        <f>CA92+CC92</f>
        <v>0</v>
      </c>
      <c r="CF92" s="289"/>
      <c r="CG92" s="18">
        <f>CD92+CF92</f>
        <v>0</v>
      </c>
      <c r="CI92" s="289"/>
      <c r="CJ92" s="18">
        <f>CG92+CI92</f>
        <v>0</v>
      </c>
      <c r="CM92" s="18">
        <f>CJ92+CL92</f>
        <v>0</v>
      </c>
      <c r="CP92" s="18">
        <f>CM92+CO92</f>
        <v>0</v>
      </c>
      <c r="CR92" s="327"/>
      <c r="CS92" s="18">
        <f>CP92+CR92</f>
        <v>0</v>
      </c>
      <c r="CU92" s="327"/>
      <c r="CV92" s="18">
        <f>CS92+CU92</f>
        <v>0</v>
      </c>
      <c r="CX92" s="327"/>
      <c r="CY92" s="18">
        <f>CV92+CX92</f>
        <v>0</v>
      </c>
      <c r="DA92" s="327"/>
      <c r="DC92" s="327">
        <v>0</v>
      </c>
    </row>
    <row r="93" spans="1:107" outlineLevel="1">
      <c r="A93" s="14" t="s">
        <v>169</v>
      </c>
      <c r="B93" s="14" t="s">
        <v>152</v>
      </c>
      <c r="C93" s="4" t="s">
        <v>153</v>
      </c>
      <c r="D93" s="52">
        <v>1000</v>
      </c>
      <c r="E93" s="37">
        <v>0</v>
      </c>
      <c r="F93" s="52">
        <v>1000</v>
      </c>
      <c r="G93" s="37">
        <v>0</v>
      </c>
      <c r="H93" s="56">
        <v>0</v>
      </c>
      <c r="I93" s="40">
        <v>0</v>
      </c>
      <c r="J93" s="17"/>
      <c r="L93" s="134">
        <v>1000</v>
      </c>
      <c r="M93" s="20">
        <f t="shared" si="160"/>
        <v>0</v>
      </c>
      <c r="N93" s="20" t="e">
        <f t="shared" si="161"/>
        <v>#DIV/0!</v>
      </c>
      <c r="Q93" s="134">
        <v>1000</v>
      </c>
      <c r="R93" s="18">
        <v>0</v>
      </c>
      <c r="S93" s="134">
        <v>1000</v>
      </c>
      <c r="T93" s="18">
        <f t="shared" si="174"/>
        <v>0</v>
      </c>
      <c r="U93" s="19">
        <f t="shared" si="175"/>
        <v>0</v>
      </c>
      <c r="Y93" s="134">
        <v>400</v>
      </c>
      <c r="AA93" s="134">
        <v>400</v>
      </c>
      <c r="AB93" s="216">
        <f t="shared" si="176"/>
        <v>0</v>
      </c>
      <c r="AC93" s="219">
        <f t="shared" si="177"/>
        <v>0</v>
      </c>
      <c r="AD93" s="219"/>
      <c r="AE93" s="134">
        <v>400</v>
      </c>
      <c r="AF93" s="213"/>
      <c r="AH93" s="18">
        <v>0</v>
      </c>
      <c r="AI93" s="20">
        <f t="shared" si="189"/>
        <v>0</v>
      </c>
      <c r="AK93" s="134">
        <v>0</v>
      </c>
      <c r="AS93" s="18">
        <f t="shared" si="178"/>
        <v>0</v>
      </c>
      <c r="AV93" s="18">
        <f t="shared" si="179"/>
        <v>0</v>
      </c>
      <c r="AX93" s="18"/>
      <c r="AY93" s="18">
        <f t="shared" si="180"/>
        <v>0</v>
      </c>
      <c r="BB93" s="18">
        <f t="shared" si="181"/>
        <v>0</v>
      </c>
      <c r="BD93" s="18"/>
      <c r="BE93" s="18">
        <f t="shared" si="182"/>
        <v>0</v>
      </c>
      <c r="BG93" s="18"/>
      <c r="BH93" s="18">
        <f t="shared" si="183"/>
        <v>0</v>
      </c>
      <c r="BJ93" s="18">
        <v>0</v>
      </c>
      <c r="BM93" s="289">
        <v>0</v>
      </c>
      <c r="BN93" s="279" t="e">
        <f t="shared" si="186"/>
        <v>#DIV/0!</v>
      </c>
      <c r="BO93" s="279" t="e">
        <f t="shared" si="187"/>
        <v>#DIV/0!</v>
      </c>
      <c r="BQ93" s="289"/>
      <c r="BR93" s="18">
        <f t="shared" si="191"/>
        <v>0</v>
      </c>
      <c r="BT93" s="289"/>
      <c r="BU93" s="18">
        <f>BR93+BT93</f>
        <v>0</v>
      </c>
      <c r="BW93" s="289"/>
      <c r="BX93" s="18">
        <f>BU93+BW93</f>
        <v>0</v>
      </c>
      <c r="BZ93" s="289"/>
      <c r="CA93" s="18">
        <f>BX93+BZ93</f>
        <v>0</v>
      </c>
      <c r="CC93" s="289"/>
      <c r="CD93" s="18">
        <f>CA93+CC93</f>
        <v>0</v>
      </c>
      <c r="CF93" s="289"/>
      <c r="CG93" s="18">
        <f>CD93+CF93</f>
        <v>0</v>
      </c>
      <c r="CI93" s="289"/>
      <c r="CJ93" s="18">
        <f>CG93+CI93</f>
        <v>0</v>
      </c>
      <c r="CM93" s="18">
        <f>CJ93+CL93</f>
        <v>0</v>
      </c>
      <c r="CP93" s="18">
        <f>CM93+CO93</f>
        <v>0</v>
      </c>
      <c r="CR93" s="327"/>
      <c r="CS93" s="18">
        <f>CP93+CR93</f>
        <v>0</v>
      </c>
      <c r="CU93" s="327"/>
      <c r="CV93" s="18">
        <f>CS93+CU93</f>
        <v>0</v>
      </c>
      <c r="CX93" s="327"/>
      <c r="CY93" s="18">
        <f>CV93+CX93</f>
        <v>0</v>
      </c>
      <c r="DA93" s="327"/>
      <c r="DC93" s="327">
        <v>0</v>
      </c>
    </row>
    <row r="94" spans="1:107" outlineLevel="1">
      <c r="A94" s="14" t="s">
        <v>169</v>
      </c>
      <c r="B94" s="14" t="s">
        <v>109</v>
      </c>
      <c r="C94" s="4" t="s">
        <v>110</v>
      </c>
      <c r="D94" s="52">
        <v>10000</v>
      </c>
      <c r="E94" s="37">
        <v>200</v>
      </c>
      <c r="F94" s="52">
        <v>20000</v>
      </c>
      <c r="G94" s="37">
        <v>100</v>
      </c>
      <c r="H94" s="56">
        <v>20000</v>
      </c>
      <c r="I94" s="40">
        <v>20000</v>
      </c>
      <c r="J94" s="17"/>
      <c r="K94" t="s">
        <v>336</v>
      </c>
      <c r="L94" s="134">
        <v>10000</v>
      </c>
      <c r="M94" s="20">
        <f t="shared" si="160"/>
        <v>-0.5</v>
      </c>
      <c r="N94" s="20">
        <f t="shared" si="161"/>
        <v>-0.5</v>
      </c>
      <c r="Q94" s="134">
        <v>10000</v>
      </c>
      <c r="S94" s="134">
        <v>10000</v>
      </c>
      <c r="T94" s="18">
        <f t="shared" si="174"/>
        <v>0</v>
      </c>
      <c r="U94" s="18">
        <f t="shared" si="175"/>
        <v>0</v>
      </c>
      <c r="Y94" s="134">
        <v>10000</v>
      </c>
      <c r="AA94" s="134">
        <v>10000</v>
      </c>
      <c r="AB94" s="216">
        <f t="shared" si="176"/>
        <v>0</v>
      </c>
      <c r="AC94" s="219">
        <f t="shared" si="177"/>
        <v>0</v>
      </c>
      <c r="AD94" s="219"/>
      <c r="AE94" s="134">
        <v>10000</v>
      </c>
      <c r="AF94" s="213"/>
      <c r="AH94" s="18">
        <v>10000</v>
      </c>
      <c r="AI94" s="20">
        <f t="shared" si="189"/>
        <v>1</v>
      </c>
      <c r="AK94" s="134">
        <v>10000</v>
      </c>
      <c r="AS94" s="18">
        <f t="shared" si="178"/>
        <v>10000</v>
      </c>
      <c r="AV94" s="18">
        <f t="shared" si="179"/>
        <v>10000</v>
      </c>
      <c r="AX94" s="18"/>
      <c r="AY94" s="18">
        <f t="shared" si="180"/>
        <v>10000</v>
      </c>
      <c r="BB94" s="18">
        <f t="shared" si="181"/>
        <v>10000</v>
      </c>
      <c r="BD94" s="18"/>
      <c r="BE94" s="18">
        <f t="shared" si="182"/>
        <v>10000</v>
      </c>
      <c r="BG94" s="18"/>
      <c r="BH94" s="18">
        <f t="shared" si="183"/>
        <v>10000</v>
      </c>
      <c r="BJ94" s="18">
        <v>10000</v>
      </c>
      <c r="BK94" s="279">
        <f t="shared" ref="BK94" si="192">BJ94/BH94</f>
        <v>1</v>
      </c>
      <c r="BM94" s="289">
        <v>10000</v>
      </c>
      <c r="BN94" s="279">
        <f t="shared" si="186"/>
        <v>1</v>
      </c>
      <c r="BO94" s="279">
        <f t="shared" si="187"/>
        <v>1</v>
      </c>
      <c r="BQ94" s="289"/>
      <c r="BR94" s="18">
        <f t="shared" si="191"/>
        <v>10000</v>
      </c>
      <c r="BT94" s="289"/>
      <c r="BU94" s="18">
        <f>BR94+BT94</f>
        <v>10000</v>
      </c>
      <c r="BW94" s="289"/>
      <c r="BX94" s="18">
        <f>BU94+BW94</f>
        <v>10000</v>
      </c>
      <c r="BZ94" s="289"/>
      <c r="CA94" s="18">
        <f>BX94+BZ94</f>
        <v>10000</v>
      </c>
      <c r="CC94" s="289"/>
      <c r="CD94" s="18">
        <f>CA94+CC94</f>
        <v>10000</v>
      </c>
      <c r="CF94" s="289"/>
      <c r="CG94" s="18">
        <f>CD94+CF94</f>
        <v>10000</v>
      </c>
      <c r="CI94" s="289"/>
      <c r="CJ94" s="18">
        <f>CG94+CI94</f>
        <v>10000</v>
      </c>
      <c r="CM94" s="18">
        <f>CJ94+CL94</f>
        <v>10000</v>
      </c>
      <c r="CP94" s="18">
        <f>CM94+CO94</f>
        <v>10000</v>
      </c>
      <c r="CS94" s="18">
        <f>CP94+CR94</f>
        <v>10000</v>
      </c>
      <c r="CV94" s="18">
        <f>CS94+CU94</f>
        <v>10000</v>
      </c>
      <c r="CY94" s="18">
        <f>CV94+CX94</f>
        <v>10000</v>
      </c>
      <c r="DA94" s="289">
        <v>10000</v>
      </c>
      <c r="DC94" s="289">
        <v>10000</v>
      </c>
    </row>
    <row r="95" spans="1:107" outlineLevel="1">
      <c r="A95" s="14" t="s">
        <v>169</v>
      </c>
      <c r="B95" s="4" t="s">
        <v>46</v>
      </c>
      <c r="C95" s="4" t="s">
        <v>170</v>
      </c>
      <c r="D95" s="52">
        <v>87600</v>
      </c>
      <c r="E95" s="37">
        <v>46.9</v>
      </c>
      <c r="F95" s="52">
        <v>101497</v>
      </c>
      <c r="G95" s="37">
        <v>40.479999999999997</v>
      </c>
      <c r="H95" s="56">
        <v>41084.89</v>
      </c>
      <c r="Y95" s="134"/>
      <c r="AF95" s="213"/>
      <c r="AH95" s="18"/>
      <c r="AX95" s="18"/>
      <c r="BD95" s="18"/>
      <c r="BG95" s="18"/>
    </row>
    <row r="96" spans="1:107" outlineLevel="1">
      <c r="A96" s="14" t="s">
        <v>171</v>
      </c>
      <c r="B96" s="4" t="s">
        <v>48</v>
      </c>
      <c r="C96" s="4" t="s">
        <v>172</v>
      </c>
      <c r="D96" s="52">
        <v>102000</v>
      </c>
      <c r="E96" s="37">
        <v>68.040000000000006</v>
      </c>
      <c r="F96" s="52">
        <v>153729</v>
      </c>
      <c r="G96" s="37">
        <v>45.14</v>
      </c>
      <c r="H96" s="56">
        <v>69396.89</v>
      </c>
      <c r="I96" s="40"/>
      <c r="J96" s="17"/>
      <c r="Y96" s="134"/>
      <c r="AF96" s="213"/>
      <c r="AH96" s="18"/>
      <c r="AX96" s="18"/>
      <c r="BD96" s="18"/>
      <c r="BG96" s="18"/>
    </row>
    <row r="97" spans="1:108" ht="15.75" thickBot="1">
      <c r="A97" s="70" t="s">
        <v>169</v>
      </c>
      <c r="B97" s="71" t="s">
        <v>320</v>
      </c>
      <c r="C97" s="338" t="s">
        <v>170</v>
      </c>
      <c r="D97" s="73">
        <f>SUM(D86:D94)</f>
        <v>87600</v>
      </c>
      <c r="E97" s="74"/>
      <c r="F97" s="73">
        <f>SUM(F86:F94)</f>
        <v>101497</v>
      </c>
      <c r="G97" s="74"/>
      <c r="H97" s="73"/>
      <c r="I97" s="73">
        <f>SUM(I86:I94)</f>
        <v>72454</v>
      </c>
      <c r="J97" s="156" t="e">
        <f>I97/$I$304</f>
        <v>#REF!</v>
      </c>
      <c r="K97" s="76"/>
      <c r="L97" s="138">
        <f>SUM(L86:L94)</f>
        <v>77800</v>
      </c>
      <c r="M97" s="77">
        <f>L97/F97-1</f>
        <v>-0.23347488103096647</v>
      </c>
      <c r="N97" s="77">
        <f>L97/I97-1</f>
        <v>7.3784746183785499E-2</v>
      </c>
      <c r="O97" s="20">
        <f>L97/$L$304</f>
        <v>1.805104441858087E-2</v>
      </c>
      <c r="P97" s="20"/>
      <c r="Q97" s="138">
        <f>SUM(Q86:Q94)</f>
        <v>77800</v>
      </c>
      <c r="R97" s="138">
        <f>SUM(R86:R94)</f>
        <v>10448</v>
      </c>
      <c r="S97" s="138">
        <f>SUM(S86:S94)</f>
        <v>54500</v>
      </c>
      <c r="T97" s="138">
        <f>SUM(T86:T94)</f>
        <v>-23300</v>
      </c>
      <c r="U97" s="175">
        <f>S97/Q97-1</f>
        <v>-0.2994858611825193</v>
      </c>
      <c r="Y97" s="138">
        <f>SUM(Y86:Y94)</f>
        <v>54500</v>
      </c>
      <c r="AA97" s="138">
        <f>SUM(AA86:AA94)</f>
        <v>47500</v>
      </c>
      <c r="AB97" s="138">
        <f>SUM(AB86:AB94)</f>
        <v>-7000</v>
      </c>
      <c r="AE97" s="138">
        <f>SUM(AE86:AE94)</f>
        <v>49100</v>
      </c>
      <c r="AF97" s="213"/>
      <c r="AH97" s="138">
        <f>SUM(AH86:AH94)</f>
        <v>45254.42</v>
      </c>
      <c r="AI97" s="20">
        <f t="shared" ref="AI97:AI98" si="193">AH97/AE97</f>
        <v>0.92167861507128301</v>
      </c>
      <c r="AK97" s="138">
        <f>SUM(AK86:AK94)</f>
        <v>48700</v>
      </c>
      <c r="AL97" s="229">
        <f t="shared" ref="AL97:AL98" si="194">AK97/L97</f>
        <v>0.62596401028277637</v>
      </c>
      <c r="AM97" s="20">
        <f t="shared" ref="AM97:AM98" si="195">AK97/AE97</f>
        <v>0.99185336048879835</v>
      </c>
      <c r="AN97" s="20">
        <f t="shared" ref="AN97:AN98" si="196">AK97/AH97</f>
        <v>1.0761379772406763</v>
      </c>
      <c r="AS97" s="138">
        <f>SUM(AS86:AS94)</f>
        <v>48700</v>
      </c>
      <c r="AU97" s="138">
        <f>SUM(AU86:AU94)</f>
        <v>0</v>
      </c>
      <c r="AV97" s="138">
        <f>SUM(AV86:AV94)</f>
        <v>48700</v>
      </c>
      <c r="AX97" s="138">
        <f>SUM(AX86:AX94)</f>
        <v>0</v>
      </c>
      <c r="AY97" s="138">
        <f>SUM(AY86:AY94)</f>
        <v>48700</v>
      </c>
      <c r="BA97" s="138">
        <f>SUM(BA86:BA94)</f>
        <v>0</v>
      </c>
      <c r="BB97" s="138">
        <f>SUM(BB86:BB94)</f>
        <v>48700</v>
      </c>
      <c r="BD97" s="138">
        <f>SUM(BD86:BD94)</f>
        <v>-600</v>
      </c>
      <c r="BE97" s="138">
        <f>SUM(BE86:BE94)</f>
        <v>48100</v>
      </c>
      <c r="BG97" s="138">
        <f>SUM(BG86:BG94)</f>
        <v>6000</v>
      </c>
      <c r="BH97" s="138">
        <f>SUM(BH86:BH94)</f>
        <v>54100</v>
      </c>
      <c r="BJ97" s="138">
        <f>SUM(BJ86:BJ94)</f>
        <v>48671.33</v>
      </c>
      <c r="BK97" s="280">
        <f t="shared" ref="BK97" si="197">BJ97/BH97</f>
        <v>0.8996548983364141</v>
      </c>
      <c r="BM97" s="138">
        <f>SUM(BM86:BM94)</f>
        <v>112400</v>
      </c>
      <c r="BN97" s="280">
        <f t="shared" ref="BN97:BN98" si="198">BM97/BJ97</f>
        <v>2.3093677530488685</v>
      </c>
      <c r="BO97" s="280">
        <f t="shared" ref="BO97:BO98" si="199">BM97/BH97</f>
        <v>2.0776340110905731</v>
      </c>
      <c r="BQ97" s="138">
        <f>SUM(BQ86:BQ94)</f>
        <v>0</v>
      </c>
      <c r="BR97" s="138">
        <f>SUM(BR86:BR94)</f>
        <v>112400</v>
      </c>
      <c r="BT97" s="138">
        <f>SUM(BT86:BT94)</f>
        <v>0</v>
      </c>
      <c r="BU97" s="138">
        <f>SUM(BU86:BU94)</f>
        <v>112400</v>
      </c>
      <c r="BW97" s="138">
        <f>SUM(BW86:BW94)</f>
        <v>0</v>
      </c>
      <c r="BX97" s="138">
        <f>SUM(BX86:BX94)</f>
        <v>112400</v>
      </c>
      <c r="BZ97" s="138">
        <f>SUM(BZ86:BZ94)</f>
        <v>0</v>
      </c>
      <c r="CA97" s="138">
        <f>SUM(CA86:CA94)</f>
        <v>112400</v>
      </c>
      <c r="CC97" s="138">
        <f>SUM(CC86:CC94)</f>
        <v>0</v>
      </c>
      <c r="CD97" s="138">
        <f>SUM(CD86:CD94)</f>
        <v>112400</v>
      </c>
      <c r="CF97" s="138">
        <f>SUM(CF86:CF94)</f>
        <v>0</v>
      </c>
      <c r="CG97" s="138">
        <f>SUM(CG86:CG94)</f>
        <v>112400</v>
      </c>
      <c r="CI97" s="138">
        <f>SUM(CI86:CI94)</f>
        <v>0</v>
      </c>
      <c r="CJ97" s="138">
        <f>SUM(CJ86:CJ94)</f>
        <v>112400</v>
      </c>
      <c r="CL97" s="391">
        <f>SUM(CL86:CL94)</f>
        <v>10000</v>
      </c>
      <c r="CM97" s="138">
        <f>SUM(CM86:CM94)</f>
        <v>122400</v>
      </c>
      <c r="CO97" s="138">
        <f>SUM(CO86:CO94)</f>
        <v>10000</v>
      </c>
      <c r="CP97" s="138">
        <f>SUM(CP86:CP94)</f>
        <v>132400</v>
      </c>
      <c r="CR97" s="138">
        <f>SUM(CR86:CR94)</f>
        <v>0</v>
      </c>
      <c r="CS97" s="138">
        <f>SUM(CS86:CS94)</f>
        <v>132400</v>
      </c>
      <c r="CU97" s="138">
        <f>SUM(CU86:CU94)</f>
        <v>4800</v>
      </c>
      <c r="CV97" s="138">
        <f>SUM(CV86:CV94)</f>
        <v>137200</v>
      </c>
      <c r="CX97" s="138">
        <f>SUM(CX86:CX94)</f>
        <v>0</v>
      </c>
      <c r="CY97" s="138">
        <f>SUM(CY86:CY94)</f>
        <v>137200</v>
      </c>
      <c r="DA97" s="138">
        <f>SUM(DA86:DA94)</f>
        <v>136956.79999999999</v>
      </c>
      <c r="DC97" s="138">
        <f>SUM(DC86:DC94)</f>
        <v>135000</v>
      </c>
    </row>
    <row r="98" spans="1:108" ht="16.5" thickTop="1" thickBot="1">
      <c r="A98" s="80" t="s">
        <v>169</v>
      </c>
      <c r="B98" s="81" t="s">
        <v>362</v>
      </c>
      <c r="C98" s="339" t="s">
        <v>338</v>
      </c>
      <c r="D98" s="82">
        <f>D91</f>
        <v>0</v>
      </c>
      <c r="E98" s="83"/>
      <c r="F98" s="82">
        <f>F91</f>
        <v>2393</v>
      </c>
      <c r="G98" s="83"/>
      <c r="H98" s="82"/>
      <c r="I98" s="82">
        <f>I91</f>
        <v>4000</v>
      </c>
      <c r="J98" s="84"/>
      <c r="K98" s="85"/>
      <c r="L98" s="139">
        <f>L91</f>
        <v>5000</v>
      </c>
      <c r="M98" s="86">
        <f>L98/F98-1</f>
        <v>1.0894274968658588</v>
      </c>
      <c r="N98" s="86">
        <f>L98/I98-1</f>
        <v>0.25</v>
      </c>
      <c r="Q98" s="139">
        <f>Q91</f>
        <v>5000</v>
      </c>
      <c r="R98" s="139">
        <f>R91</f>
        <v>484</v>
      </c>
      <c r="S98" s="139">
        <f>S91</f>
        <v>3000</v>
      </c>
      <c r="T98" s="139">
        <f>T91</f>
        <v>-2000</v>
      </c>
      <c r="U98" s="175">
        <f>S98/Q98-1</f>
        <v>-0.4</v>
      </c>
      <c r="Y98" s="139">
        <f>Y91</f>
        <v>3000</v>
      </c>
      <c r="AA98" s="139">
        <f>AA91</f>
        <v>3000</v>
      </c>
      <c r="AB98" s="139">
        <f>AB91</f>
        <v>0</v>
      </c>
      <c r="AE98" s="139">
        <f>AE91</f>
        <v>3000</v>
      </c>
      <c r="AF98" s="213"/>
      <c r="AH98" s="139">
        <f>AH91</f>
        <v>2565</v>
      </c>
      <c r="AI98" s="20">
        <f t="shared" si="193"/>
        <v>0.85499999999999998</v>
      </c>
      <c r="AK98" s="139">
        <f>AK91</f>
        <v>4000</v>
      </c>
      <c r="AL98" s="229">
        <f t="shared" si="194"/>
        <v>0.8</v>
      </c>
      <c r="AM98" s="20">
        <f t="shared" si="195"/>
        <v>1.3333333333333333</v>
      </c>
      <c r="AN98" s="20">
        <f t="shared" si="196"/>
        <v>1.5594541910331383</v>
      </c>
      <c r="AS98" s="139">
        <f>AS91</f>
        <v>4000</v>
      </c>
      <c r="AU98" s="139">
        <f>AU91</f>
        <v>0</v>
      </c>
      <c r="AV98" s="139">
        <f>AV91</f>
        <v>4000</v>
      </c>
      <c r="AX98" s="139">
        <f>AX91</f>
        <v>0</v>
      </c>
      <c r="AY98" s="139">
        <f>AY91</f>
        <v>4000</v>
      </c>
      <c r="BA98" s="139">
        <f>BA91</f>
        <v>0</v>
      </c>
      <c r="BB98" s="139">
        <f>BB91</f>
        <v>4000</v>
      </c>
      <c r="BD98" s="139">
        <f>BD91</f>
        <v>-2000</v>
      </c>
      <c r="BE98" s="139">
        <f>BE91</f>
        <v>2000</v>
      </c>
      <c r="BG98" s="139">
        <f>BG91</f>
        <v>0</v>
      </c>
      <c r="BH98" s="139">
        <f>BH91</f>
        <v>2000</v>
      </c>
      <c r="BJ98" s="139">
        <f>BJ91</f>
        <v>950</v>
      </c>
      <c r="BK98" s="280">
        <f t="shared" ref="BK98" si="200">BJ98/BH98</f>
        <v>0.47499999999999998</v>
      </c>
      <c r="BM98" s="139">
        <f>BM91</f>
        <v>1000</v>
      </c>
      <c r="BN98" s="280">
        <f t="shared" si="198"/>
        <v>1.0526315789473684</v>
      </c>
      <c r="BO98" s="280">
        <f t="shared" si="199"/>
        <v>0.5</v>
      </c>
      <c r="BQ98" s="139">
        <f>BQ91</f>
        <v>0</v>
      </c>
      <c r="BR98" s="139">
        <f>BR91</f>
        <v>1000</v>
      </c>
      <c r="BT98" s="139">
        <f>BT91</f>
        <v>0</v>
      </c>
      <c r="BU98" s="139">
        <f>BU91</f>
        <v>1000</v>
      </c>
      <c r="BW98" s="139">
        <f>BW91</f>
        <v>0</v>
      </c>
      <c r="BX98" s="139">
        <f>BX91</f>
        <v>1000</v>
      </c>
      <c r="BZ98" s="139">
        <f>BZ91</f>
        <v>0</v>
      </c>
      <c r="CA98" s="139">
        <f>CA91</f>
        <v>1000</v>
      </c>
      <c r="CC98" s="139">
        <f>CC91</f>
        <v>0</v>
      </c>
      <c r="CD98" s="139">
        <f>CD91</f>
        <v>1000</v>
      </c>
      <c r="CF98" s="139">
        <f>CF91</f>
        <v>0</v>
      </c>
      <c r="CG98" s="139">
        <f>CG91</f>
        <v>1000</v>
      </c>
      <c r="CI98" s="139">
        <f>CI91</f>
        <v>0</v>
      </c>
      <c r="CJ98" s="139">
        <f>CJ91</f>
        <v>1000</v>
      </c>
      <c r="CL98" s="391">
        <f>CL91</f>
        <v>0</v>
      </c>
      <c r="CM98" s="139">
        <f>CM91</f>
        <v>1000</v>
      </c>
      <c r="CO98" s="139">
        <f>CO91</f>
        <v>0</v>
      </c>
      <c r="CP98" s="139">
        <f>CP91</f>
        <v>1000</v>
      </c>
      <c r="CR98" s="139">
        <f>CR91</f>
        <v>0</v>
      </c>
      <c r="CS98" s="139">
        <f>CS91</f>
        <v>1000</v>
      </c>
      <c r="CU98" s="139">
        <f>CU91</f>
        <v>-1000</v>
      </c>
      <c r="CV98" s="139">
        <f>CV91</f>
        <v>0</v>
      </c>
      <c r="CX98" s="139">
        <f>CX91</f>
        <v>0</v>
      </c>
      <c r="CY98" s="139">
        <f>CY91</f>
        <v>0</v>
      </c>
      <c r="DA98" s="139">
        <f>DA91</f>
        <v>0</v>
      </c>
      <c r="DC98" s="139">
        <f>DC91</f>
        <v>2000</v>
      </c>
    </row>
    <row r="99" spans="1:108" ht="15.75" outlineLevel="1" thickTop="1">
      <c r="A99" s="14" t="s">
        <v>173</v>
      </c>
      <c r="B99" s="14" t="s">
        <v>117</v>
      </c>
      <c r="C99" s="4" t="s">
        <v>118</v>
      </c>
      <c r="D99" s="52">
        <v>36000</v>
      </c>
      <c r="E99" s="37">
        <v>7</v>
      </c>
      <c r="F99" s="52">
        <v>146000</v>
      </c>
      <c r="G99" s="37">
        <v>1.73</v>
      </c>
      <c r="H99" s="56">
        <v>2520</v>
      </c>
      <c r="I99" s="40">
        <v>2520</v>
      </c>
      <c r="J99" s="17"/>
      <c r="L99" s="134">
        <v>0</v>
      </c>
      <c r="M99" s="20">
        <f>L99/F99-1</f>
        <v>-1</v>
      </c>
      <c r="N99" s="20">
        <f>L99/I99-1</f>
        <v>-1</v>
      </c>
      <c r="Y99" s="134"/>
      <c r="AF99" s="213"/>
      <c r="AH99" s="18"/>
      <c r="AX99" s="18"/>
      <c r="BD99" s="18"/>
      <c r="BG99" s="18"/>
      <c r="BM99" s="285">
        <v>0</v>
      </c>
      <c r="BQ99" s="289"/>
      <c r="BR99" s="18">
        <f t="shared" ref="BR99:BR100" si="201">BM99+BQ99</f>
        <v>0</v>
      </c>
      <c r="BT99" s="289"/>
      <c r="BU99" s="18">
        <f>BR99+BT99</f>
        <v>0</v>
      </c>
      <c r="BW99" s="289"/>
      <c r="BX99" s="18">
        <f>BU99+BW99</f>
        <v>0</v>
      </c>
      <c r="BZ99" s="289"/>
      <c r="CA99" s="18">
        <f>BX99+BZ99</f>
        <v>0</v>
      </c>
      <c r="CC99" s="289"/>
      <c r="CD99" s="18">
        <f>CA99+CC99</f>
        <v>0</v>
      </c>
      <c r="CF99" s="289"/>
      <c r="CG99" s="18">
        <f>CD99+CF99</f>
        <v>0</v>
      </c>
      <c r="CI99" s="289"/>
      <c r="CJ99" s="18">
        <f>CG99+CI99</f>
        <v>0</v>
      </c>
      <c r="CM99" s="18">
        <f>CJ99+CL99</f>
        <v>0</v>
      </c>
      <c r="CP99" s="18">
        <f>CM99+CO99</f>
        <v>0</v>
      </c>
      <c r="CS99" s="18">
        <f>CP99+CR99</f>
        <v>0</v>
      </c>
      <c r="CV99" s="18">
        <f>CS99+CU99</f>
        <v>0</v>
      </c>
      <c r="CY99" s="18">
        <f>CV99+CX99</f>
        <v>0</v>
      </c>
      <c r="DA99" s="289">
        <v>0</v>
      </c>
      <c r="DC99" s="289">
        <v>0</v>
      </c>
    </row>
    <row r="100" spans="1:108" outlineLevel="1">
      <c r="A100" s="14" t="s">
        <v>173</v>
      </c>
      <c r="B100" s="14" t="s">
        <v>210</v>
      </c>
      <c r="C100" s="4" t="s">
        <v>211</v>
      </c>
      <c r="D100" s="52">
        <v>0</v>
      </c>
      <c r="E100" s="37">
        <v>0</v>
      </c>
      <c r="F100" s="52">
        <v>0</v>
      </c>
      <c r="G100" s="37">
        <v>0</v>
      </c>
      <c r="H100" s="56">
        <v>108900</v>
      </c>
      <c r="I100" s="40">
        <v>135000</v>
      </c>
      <c r="J100" s="17"/>
      <c r="L100" s="134">
        <v>0</v>
      </c>
      <c r="M100" s="20" t="e">
        <f>L100/F100-1</f>
        <v>#DIV/0!</v>
      </c>
      <c r="N100" s="20">
        <f>L100/I100-1</f>
        <v>-1</v>
      </c>
      <c r="Q100" s="134">
        <v>23000</v>
      </c>
      <c r="R100" s="18">
        <v>22990</v>
      </c>
      <c r="S100" s="134">
        <v>23000</v>
      </c>
      <c r="T100" s="18">
        <f>S100-Q100</f>
        <v>0</v>
      </c>
      <c r="U100" s="19">
        <f>S100/Q100-1</f>
        <v>0</v>
      </c>
      <c r="V100" s="159">
        <v>23000</v>
      </c>
      <c r="W100">
        <v>23000</v>
      </c>
      <c r="Y100" s="134">
        <v>23000</v>
      </c>
      <c r="AA100" s="134">
        <v>23000</v>
      </c>
      <c r="AB100" s="216">
        <f t="shared" ref="AB100" si="202">AA100-Y100</f>
        <v>0</v>
      </c>
      <c r="AC100" s="219">
        <f t="shared" ref="AC100" si="203">AA100-Y100</f>
        <v>0</v>
      </c>
      <c r="AD100" s="219"/>
      <c r="AE100" s="134">
        <v>23000</v>
      </c>
      <c r="AF100" s="213"/>
      <c r="AH100" s="18">
        <v>22990</v>
      </c>
      <c r="AI100" s="20">
        <f t="shared" ref="AI100" si="204">AH100/AE100</f>
        <v>0.99956521739130433</v>
      </c>
      <c r="AK100" s="134">
        <v>0</v>
      </c>
      <c r="AX100" s="18"/>
      <c r="BD100" s="18"/>
      <c r="BG100" s="18"/>
      <c r="BM100" s="285">
        <v>0</v>
      </c>
      <c r="BQ100" s="289"/>
      <c r="BR100" s="18">
        <f t="shared" si="201"/>
        <v>0</v>
      </c>
      <c r="BT100" s="289"/>
      <c r="BU100" s="18">
        <f>BR100+BT100</f>
        <v>0</v>
      </c>
      <c r="BW100" s="289"/>
      <c r="BX100" s="18">
        <f>BU100+BW100</f>
        <v>0</v>
      </c>
      <c r="BZ100" s="289"/>
      <c r="CA100" s="18">
        <f>BX100+BZ100</f>
        <v>0</v>
      </c>
      <c r="CC100" s="289"/>
      <c r="CD100" s="18">
        <f>CA100+CC100</f>
        <v>0</v>
      </c>
      <c r="CF100" s="289"/>
      <c r="CG100" s="18">
        <f>CD100+CF100</f>
        <v>0</v>
      </c>
      <c r="CI100" s="289"/>
      <c r="CJ100" s="18">
        <f>CG100+CI100</f>
        <v>0</v>
      </c>
      <c r="CM100" s="18">
        <f>CJ100+CL100</f>
        <v>0</v>
      </c>
      <c r="CP100" s="18">
        <f>CM100+CO100</f>
        <v>0</v>
      </c>
      <c r="CS100" s="18">
        <f>CP100+CR100</f>
        <v>0</v>
      </c>
      <c r="CV100" s="18">
        <f>CS100+CU100</f>
        <v>0</v>
      </c>
      <c r="CY100" s="18">
        <f>CV100+CX100</f>
        <v>0</v>
      </c>
      <c r="DA100" s="289">
        <v>0</v>
      </c>
      <c r="DC100" s="289">
        <v>0</v>
      </c>
    </row>
    <row r="101" spans="1:108" outlineLevel="1">
      <c r="A101" s="14" t="s">
        <v>173</v>
      </c>
      <c r="B101" s="4" t="s">
        <v>46</v>
      </c>
      <c r="C101" s="4" t="s">
        <v>174</v>
      </c>
      <c r="D101" s="52">
        <v>36000</v>
      </c>
      <c r="E101" s="37">
        <v>309.5</v>
      </c>
      <c r="F101" s="52">
        <v>146000</v>
      </c>
      <c r="G101" s="37">
        <v>76.319999999999993</v>
      </c>
      <c r="H101" s="56">
        <v>111420</v>
      </c>
      <c r="I101" s="40"/>
      <c r="J101" s="17"/>
      <c r="Y101" s="134"/>
      <c r="AF101" s="213"/>
      <c r="AH101" s="18"/>
      <c r="AS101" s="18">
        <f t="shared" ref="AS101" si="205">AR101+AK101</f>
        <v>0</v>
      </c>
      <c r="AX101" s="18"/>
      <c r="BD101" s="18"/>
      <c r="BG101" s="18"/>
    </row>
    <row r="102" spans="1:108" ht="15.75" thickBot="1">
      <c r="A102" s="70" t="s">
        <v>173</v>
      </c>
      <c r="B102" s="71" t="s">
        <v>320</v>
      </c>
      <c r="C102" s="338" t="s">
        <v>174</v>
      </c>
      <c r="D102" s="73">
        <f>D99</f>
        <v>36000</v>
      </c>
      <c r="E102" s="74"/>
      <c r="F102" s="73">
        <f>F99</f>
        <v>146000</v>
      </c>
      <c r="G102" s="74"/>
      <c r="H102" s="73"/>
      <c r="I102" s="73">
        <f>I99</f>
        <v>2520</v>
      </c>
      <c r="J102" s="156" t="e">
        <f>I102/$I$304</f>
        <v>#REF!</v>
      </c>
      <c r="K102" s="76"/>
      <c r="L102" s="138">
        <f>L99</f>
        <v>0</v>
      </c>
      <c r="M102" s="77">
        <f t="shared" ref="M102:M109" si="206">L102/F102-1</f>
        <v>-1</v>
      </c>
      <c r="N102" s="77">
        <f t="shared" ref="N102:N109" si="207">L102/I102-1</f>
        <v>-1</v>
      </c>
      <c r="O102" s="20">
        <f>L102/$L$304</f>
        <v>0</v>
      </c>
      <c r="P102" s="20"/>
      <c r="Q102" s="138">
        <f t="shared" ref="Q102:T103" si="208">Q99</f>
        <v>0</v>
      </c>
      <c r="R102" s="138">
        <f t="shared" si="208"/>
        <v>0</v>
      </c>
      <c r="S102" s="138">
        <f t="shared" si="208"/>
        <v>0</v>
      </c>
      <c r="T102" s="138">
        <f t="shared" si="208"/>
        <v>0</v>
      </c>
      <c r="U102" s="175" t="e">
        <f>S102/Q102-1</f>
        <v>#DIV/0!</v>
      </c>
      <c r="Y102" s="138">
        <f>Y99</f>
        <v>0</v>
      </c>
      <c r="AA102" s="138">
        <f>AA99</f>
        <v>0</v>
      </c>
      <c r="AB102" s="138">
        <f>AB99</f>
        <v>0</v>
      </c>
      <c r="AE102" s="138">
        <f>AE99</f>
        <v>0</v>
      </c>
      <c r="AF102" s="213"/>
      <c r="AH102" s="138">
        <f>AH99</f>
        <v>0</v>
      </c>
      <c r="AI102" s="20" t="e">
        <f t="shared" ref="AI102:AI105" si="209">AH102/AE102</f>
        <v>#DIV/0!</v>
      </c>
      <c r="AK102" s="138">
        <f>AK99</f>
        <v>0</v>
      </c>
      <c r="AL102" s="229" t="e">
        <f t="shared" ref="AL102:AL103" si="210">AK102/L102</f>
        <v>#DIV/0!</v>
      </c>
      <c r="AM102" s="20" t="e">
        <f t="shared" ref="AM102:AM103" si="211">AK102/AE102</f>
        <v>#DIV/0!</v>
      </c>
      <c r="AN102" s="20" t="e">
        <f t="shared" ref="AN102:AN103" si="212">AK102/AH102</f>
        <v>#DIV/0!</v>
      </c>
      <c r="AS102" s="138">
        <f>AS99</f>
        <v>0</v>
      </c>
      <c r="AU102" s="138">
        <f>AU99</f>
        <v>0</v>
      </c>
      <c r="AV102" s="138">
        <f>AV99</f>
        <v>0</v>
      </c>
      <c r="AX102" s="138">
        <f>AX99</f>
        <v>0</v>
      </c>
      <c r="AY102" s="138">
        <f>AY99</f>
        <v>0</v>
      </c>
      <c r="BA102" s="138">
        <f>BA99</f>
        <v>0</v>
      </c>
      <c r="BB102" s="138">
        <f>BB99</f>
        <v>0</v>
      </c>
      <c r="BD102" s="138">
        <f>BD99</f>
        <v>0</v>
      </c>
      <c r="BE102" s="138">
        <f>BE99</f>
        <v>0</v>
      </c>
      <c r="BG102" s="138">
        <f>BG99</f>
        <v>0</v>
      </c>
      <c r="BH102" s="138">
        <f>BH99</f>
        <v>0</v>
      </c>
      <c r="BJ102" s="138">
        <f>BJ99</f>
        <v>0</v>
      </c>
      <c r="BK102" s="280" t="e">
        <f t="shared" ref="BK102:BK103" si="213">BJ102/BH102</f>
        <v>#DIV/0!</v>
      </c>
      <c r="BM102" s="138">
        <f>BM99</f>
        <v>0</v>
      </c>
      <c r="BN102" s="280" t="e">
        <f t="shared" ref="BN102:BN103" si="214">BM102/BJ102</f>
        <v>#DIV/0!</v>
      </c>
      <c r="BO102" s="280" t="e">
        <f t="shared" ref="BO102:BO103" si="215">BM102/BH102</f>
        <v>#DIV/0!</v>
      </c>
      <c r="BQ102" s="138">
        <f>BQ99</f>
        <v>0</v>
      </c>
      <c r="BR102" s="138">
        <f>BR99</f>
        <v>0</v>
      </c>
      <c r="BT102" s="138">
        <f>BT99</f>
        <v>0</v>
      </c>
      <c r="BU102" s="138">
        <f>BU99</f>
        <v>0</v>
      </c>
      <c r="BW102" s="138">
        <f>BW99</f>
        <v>0</v>
      </c>
      <c r="BX102" s="138">
        <f>BX99</f>
        <v>0</v>
      </c>
      <c r="BZ102" s="138">
        <f>BZ99</f>
        <v>0</v>
      </c>
      <c r="CA102" s="138">
        <f>CA99</f>
        <v>0</v>
      </c>
      <c r="CC102" s="138">
        <f>CC99</f>
        <v>0</v>
      </c>
      <c r="CD102" s="138">
        <f>CD99</f>
        <v>0</v>
      </c>
      <c r="CF102" s="138">
        <f>CF99</f>
        <v>0</v>
      </c>
      <c r="CG102" s="138">
        <f>CG99</f>
        <v>0</v>
      </c>
      <c r="CI102" s="138">
        <f>CI99</f>
        <v>0</v>
      </c>
      <c r="CJ102" s="138">
        <f>CJ99</f>
        <v>0</v>
      </c>
      <c r="CL102" s="391">
        <f>CL99</f>
        <v>0</v>
      </c>
      <c r="CM102" s="138">
        <f>CM99</f>
        <v>0</v>
      </c>
      <c r="CO102" s="138">
        <f>CO99</f>
        <v>0</v>
      </c>
      <c r="CP102" s="138">
        <f>CP99</f>
        <v>0</v>
      </c>
      <c r="CR102" s="138">
        <f>CR99</f>
        <v>0</v>
      </c>
      <c r="CS102" s="138">
        <f>CS99</f>
        <v>0</v>
      </c>
      <c r="CU102" s="138">
        <f>CU99</f>
        <v>0</v>
      </c>
      <c r="CV102" s="138">
        <f>CV99</f>
        <v>0</v>
      </c>
      <c r="CX102" s="138">
        <f>CX99</f>
        <v>0</v>
      </c>
      <c r="CY102" s="138">
        <f>CY99</f>
        <v>0</v>
      </c>
      <c r="DA102" s="138">
        <f>DA99</f>
        <v>0</v>
      </c>
      <c r="DC102" s="138">
        <f>DC99</f>
        <v>0</v>
      </c>
    </row>
    <row r="103" spans="1:108" ht="16.5" thickTop="1" thickBot="1">
      <c r="A103" s="91" t="s">
        <v>173</v>
      </c>
      <c r="B103" s="92" t="s">
        <v>281</v>
      </c>
      <c r="C103" s="340" t="s">
        <v>339</v>
      </c>
      <c r="D103" s="94">
        <f>D100</f>
        <v>0</v>
      </c>
      <c r="E103" s="95"/>
      <c r="F103" s="94">
        <f>F100</f>
        <v>0</v>
      </c>
      <c r="G103" s="95"/>
      <c r="H103" s="94"/>
      <c r="I103" s="94">
        <f>I100</f>
        <v>135000</v>
      </c>
      <c r="J103" s="96"/>
      <c r="K103" s="93"/>
      <c r="L103" s="140">
        <f>L100</f>
        <v>0</v>
      </c>
      <c r="M103" s="97" t="e">
        <f t="shared" si="206"/>
        <v>#DIV/0!</v>
      </c>
      <c r="N103" s="97">
        <f t="shared" si="207"/>
        <v>-1</v>
      </c>
      <c r="Q103" s="140">
        <f t="shared" si="208"/>
        <v>23000</v>
      </c>
      <c r="R103" s="140">
        <f t="shared" si="208"/>
        <v>22990</v>
      </c>
      <c r="S103" s="140">
        <f t="shared" si="208"/>
        <v>23000</v>
      </c>
      <c r="T103" s="140">
        <f t="shared" si="208"/>
        <v>0</v>
      </c>
      <c r="U103" s="176">
        <f>S103/Q103-1</f>
        <v>0</v>
      </c>
      <c r="Y103" s="140">
        <f>Y100</f>
        <v>23000</v>
      </c>
      <c r="AA103" s="140">
        <f>AA100</f>
        <v>23000</v>
      </c>
      <c r="AB103" s="140">
        <f>AB100</f>
        <v>0</v>
      </c>
      <c r="AE103" s="140">
        <f>AE100</f>
        <v>23000</v>
      </c>
      <c r="AF103" s="213"/>
      <c r="AH103" s="140">
        <f>AH100</f>
        <v>22990</v>
      </c>
      <c r="AI103" s="20">
        <f t="shared" si="209"/>
        <v>0.99956521739130433</v>
      </c>
      <c r="AK103" s="140">
        <f>AK100</f>
        <v>0</v>
      </c>
      <c r="AL103" s="229" t="e">
        <f t="shared" si="210"/>
        <v>#DIV/0!</v>
      </c>
      <c r="AM103" s="20">
        <f t="shared" si="211"/>
        <v>0</v>
      </c>
      <c r="AN103" s="20">
        <f t="shared" si="212"/>
        <v>0</v>
      </c>
      <c r="AS103" s="140">
        <f>AS100</f>
        <v>0</v>
      </c>
      <c r="AU103" s="140">
        <f>AU100</f>
        <v>0</v>
      </c>
      <c r="AV103" s="140">
        <f>AV100</f>
        <v>0</v>
      </c>
      <c r="AX103" s="140">
        <f>AX100</f>
        <v>0</v>
      </c>
      <c r="AY103" s="140">
        <f>AY100</f>
        <v>0</v>
      </c>
      <c r="BA103" s="140">
        <f>BA100</f>
        <v>0</v>
      </c>
      <c r="BB103" s="140">
        <f>BB100</f>
        <v>0</v>
      </c>
      <c r="BD103" s="140">
        <f>BD100</f>
        <v>0</v>
      </c>
      <c r="BE103" s="140">
        <f>BE100</f>
        <v>0</v>
      </c>
      <c r="BG103" s="140">
        <f>BG100</f>
        <v>0</v>
      </c>
      <c r="BH103" s="140">
        <f>BH100</f>
        <v>0</v>
      </c>
      <c r="BJ103" s="140">
        <f>BJ100</f>
        <v>0</v>
      </c>
      <c r="BK103" s="281" t="e">
        <f t="shared" si="213"/>
        <v>#DIV/0!</v>
      </c>
      <c r="BM103" s="140">
        <f>BM100</f>
        <v>0</v>
      </c>
      <c r="BN103" s="281" t="e">
        <f t="shared" si="214"/>
        <v>#DIV/0!</v>
      </c>
      <c r="BO103" s="281" t="e">
        <f t="shared" si="215"/>
        <v>#DIV/0!</v>
      </c>
      <c r="BQ103" s="140">
        <f>BQ100</f>
        <v>0</v>
      </c>
      <c r="BR103" s="140">
        <f>BR100</f>
        <v>0</v>
      </c>
      <c r="BT103" s="140">
        <f>BT100</f>
        <v>0</v>
      </c>
      <c r="BU103" s="140">
        <f>BU100</f>
        <v>0</v>
      </c>
      <c r="BW103" s="140">
        <f>BW100</f>
        <v>0</v>
      </c>
      <c r="BX103" s="140">
        <f>BX100</f>
        <v>0</v>
      </c>
      <c r="BZ103" s="140">
        <f>BZ100</f>
        <v>0</v>
      </c>
      <c r="CA103" s="140">
        <f>CA100</f>
        <v>0</v>
      </c>
      <c r="CC103" s="140">
        <f>CC100</f>
        <v>0</v>
      </c>
      <c r="CD103" s="140">
        <f>CD100</f>
        <v>0</v>
      </c>
      <c r="CF103" s="140">
        <f>CF100</f>
        <v>0</v>
      </c>
      <c r="CG103" s="140">
        <f>CG100</f>
        <v>0</v>
      </c>
      <c r="CI103" s="140">
        <f>CI100</f>
        <v>0</v>
      </c>
      <c r="CJ103" s="140">
        <f>CJ100</f>
        <v>0</v>
      </c>
      <c r="CL103" s="391">
        <f>CL100</f>
        <v>0</v>
      </c>
      <c r="CM103" s="140">
        <f>CM100</f>
        <v>0</v>
      </c>
      <c r="CO103" s="140">
        <f>CO100</f>
        <v>0</v>
      </c>
      <c r="CP103" s="140">
        <f>CP100</f>
        <v>0</v>
      </c>
      <c r="CR103" s="140">
        <f>CR100</f>
        <v>0</v>
      </c>
      <c r="CS103" s="140">
        <f>CS100</f>
        <v>0</v>
      </c>
      <c r="CU103" s="140">
        <f>CU100</f>
        <v>0</v>
      </c>
      <c r="CV103" s="140">
        <f>CV100</f>
        <v>0</v>
      </c>
      <c r="CX103" s="140">
        <f>CX100</f>
        <v>0</v>
      </c>
      <c r="CY103" s="140">
        <f>CY100</f>
        <v>0</v>
      </c>
      <c r="DA103" s="140">
        <f>DA100</f>
        <v>0</v>
      </c>
      <c r="DC103" s="140">
        <f>DC100</f>
        <v>0</v>
      </c>
    </row>
    <row r="104" spans="1:108" ht="15.75" thickTop="1">
      <c r="A104" s="158" t="s">
        <v>175</v>
      </c>
      <c r="B104" s="158" t="s">
        <v>144</v>
      </c>
      <c r="C104" s="4" t="s">
        <v>145</v>
      </c>
      <c r="D104" s="52"/>
      <c r="E104" s="37"/>
      <c r="F104" s="52"/>
      <c r="G104" s="37"/>
      <c r="H104" s="56"/>
      <c r="I104" s="40"/>
      <c r="J104" s="17"/>
      <c r="L104" s="134">
        <v>0</v>
      </c>
      <c r="M104" s="20" t="e">
        <f>L104/F104-1</f>
        <v>#DIV/0!</v>
      </c>
      <c r="N104" s="20" t="e">
        <f>L104/I104-1</f>
        <v>#DIV/0!</v>
      </c>
      <c r="Q104" s="134">
        <v>9500</v>
      </c>
      <c r="R104" s="18">
        <v>0</v>
      </c>
      <c r="S104" s="134">
        <v>9500</v>
      </c>
      <c r="T104" s="18">
        <f>S104-Q104</f>
        <v>0</v>
      </c>
      <c r="U104" s="19">
        <f>S104/Q104-1</f>
        <v>0</v>
      </c>
      <c r="V104" s="159">
        <v>9500</v>
      </c>
      <c r="W104">
        <v>9500</v>
      </c>
      <c r="Y104" s="134">
        <v>9500</v>
      </c>
      <c r="AA104" s="143">
        <v>9500</v>
      </c>
      <c r="AB104" s="216">
        <f t="shared" ref="AB104:AB105" si="216">AA104-Y104</f>
        <v>0</v>
      </c>
      <c r="AC104" s="219">
        <f t="shared" ref="AC104:AC109" si="217">AA104-Y104</f>
        <v>0</v>
      </c>
      <c r="AD104" s="219"/>
      <c r="AE104" s="143">
        <v>9500</v>
      </c>
      <c r="AF104" s="213"/>
      <c r="AH104" s="18">
        <v>9500</v>
      </c>
      <c r="AI104" s="20">
        <f t="shared" si="209"/>
        <v>1</v>
      </c>
      <c r="AK104" s="134">
        <v>0</v>
      </c>
      <c r="AS104" s="18">
        <f t="shared" ref="AS104:AS105" si="218">AR104+AK104</f>
        <v>0</v>
      </c>
      <c r="AV104" s="18">
        <f t="shared" ref="AV104:AV105" si="219">AS104+AU104</f>
        <v>0</v>
      </c>
      <c r="AX104" s="18"/>
      <c r="AY104" s="18">
        <f t="shared" ref="AY104:AY105" si="220">AV104+AX104</f>
        <v>0</v>
      </c>
      <c r="BB104" s="18">
        <f t="shared" ref="BB104:BB105" si="221">AY104+BA104</f>
        <v>0</v>
      </c>
      <c r="BD104" s="18"/>
      <c r="BE104" s="18">
        <f t="shared" ref="BE104:BE105" si="222">BB104+BD104</f>
        <v>0</v>
      </c>
      <c r="BG104" s="18"/>
      <c r="BH104" s="18">
        <f t="shared" ref="BH104:BH105" si="223">BE104+BG104</f>
        <v>0</v>
      </c>
      <c r="BM104" s="289"/>
      <c r="BQ104" s="289"/>
      <c r="BR104" s="289"/>
      <c r="BT104" s="289"/>
      <c r="BU104" s="289"/>
      <c r="BW104" s="289"/>
      <c r="BX104" s="289"/>
      <c r="BZ104" s="289"/>
      <c r="CA104" s="289"/>
      <c r="CC104" s="289"/>
      <c r="CD104" s="289"/>
      <c r="CF104" s="289"/>
      <c r="CG104" s="289"/>
      <c r="CI104" s="289"/>
      <c r="CJ104" s="289"/>
      <c r="CM104" s="289"/>
      <c r="CP104" s="289"/>
      <c r="CR104" s="327"/>
      <c r="CS104" s="289"/>
      <c r="CU104" s="327"/>
      <c r="CV104" s="289"/>
      <c r="CX104" s="327"/>
      <c r="CY104" s="289"/>
      <c r="DA104" s="327"/>
      <c r="DC104" s="327"/>
    </row>
    <row r="105" spans="1:108">
      <c r="A105" s="198" t="s">
        <v>175</v>
      </c>
      <c r="B105" s="198" t="s">
        <v>115</v>
      </c>
      <c r="C105" s="4" t="s">
        <v>116</v>
      </c>
      <c r="D105" s="52"/>
      <c r="E105" s="37"/>
      <c r="F105" s="52"/>
      <c r="G105" s="37"/>
      <c r="H105" s="56"/>
      <c r="I105" s="40"/>
      <c r="J105" s="17"/>
      <c r="M105" s="20"/>
      <c r="N105" s="20"/>
      <c r="U105" s="19"/>
      <c r="Y105" s="134"/>
      <c r="AA105" s="134">
        <v>9500</v>
      </c>
      <c r="AB105" s="216">
        <f t="shared" si="216"/>
        <v>9500</v>
      </c>
      <c r="AC105" s="219">
        <f t="shared" si="217"/>
        <v>9500</v>
      </c>
      <c r="AD105" s="219"/>
      <c r="AE105" s="134">
        <v>9500</v>
      </c>
      <c r="AF105" s="213"/>
      <c r="AH105" s="18">
        <v>0</v>
      </c>
      <c r="AI105" s="20">
        <f t="shared" si="209"/>
        <v>0</v>
      </c>
      <c r="AK105" s="134">
        <v>9500</v>
      </c>
      <c r="AS105" s="18">
        <f t="shared" si="218"/>
        <v>9500</v>
      </c>
      <c r="AU105" s="18">
        <v>33300</v>
      </c>
      <c r="AV105" s="18">
        <f t="shared" si="219"/>
        <v>42800</v>
      </c>
      <c r="AX105" s="18"/>
      <c r="AY105" s="18">
        <f t="shared" si="220"/>
        <v>42800</v>
      </c>
      <c r="BB105" s="18">
        <f t="shared" si="221"/>
        <v>42800</v>
      </c>
      <c r="BD105" s="18"/>
      <c r="BE105" s="18">
        <f t="shared" si="222"/>
        <v>42800</v>
      </c>
      <c r="BG105" s="18"/>
      <c r="BH105" s="18">
        <f t="shared" si="223"/>
        <v>42800</v>
      </c>
      <c r="BJ105" s="18">
        <v>42768.9</v>
      </c>
      <c r="BK105" s="279">
        <f t="shared" ref="BK105" si="224">BJ105/BH105</f>
        <v>0.99927336448598136</v>
      </c>
      <c r="BM105" s="327">
        <v>10000</v>
      </c>
      <c r="BN105" s="279">
        <f t="shared" ref="BN105" si="225">BM105/BJ105</f>
        <v>0.23381475791989037</v>
      </c>
      <c r="BO105" s="279">
        <f t="shared" ref="BO105" si="226">BM105/BH105</f>
        <v>0.23364485981308411</v>
      </c>
      <c r="BQ105" s="289"/>
      <c r="BR105" s="18">
        <f>BM105+BQ105</f>
        <v>10000</v>
      </c>
      <c r="BT105" s="289"/>
      <c r="BU105" s="18">
        <f>BR105+BT105</f>
        <v>10000</v>
      </c>
      <c r="BW105" s="289"/>
      <c r="BX105" s="18">
        <f>BU105+BW105</f>
        <v>10000</v>
      </c>
      <c r="BZ105" s="289"/>
      <c r="CA105" s="18">
        <f>BX105+BZ105</f>
        <v>10000</v>
      </c>
      <c r="CC105" s="289"/>
      <c r="CD105" s="18">
        <f>CA105+CC105</f>
        <v>10000</v>
      </c>
      <c r="CF105" s="289"/>
      <c r="CG105" s="18">
        <f>CD105+CF105</f>
        <v>10000</v>
      </c>
      <c r="CI105" s="289"/>
      <c r="CJ105" s="18">
        <f>CG105+CI105</f>
        <v>10000</v>
      </c>
      <c r="CM105" s="18">
        <f>CJ105+CL105</f>
        <v>10000</v>
      </c>
      <c r="CO105" s="327">
        <v>-5000</v>
      </c>
      <c r="CP105" s="18">
        <f>CM105+CO105</f>
        <v>5000</v>
      </c>
      <c r="CR105" s="327"/>
      <c r="CS105" s="18">
        <f>CP105+CR105</f>
        <v>5000</v>
      </c>
      <c r="CU105" s="349">
        <v>-5000</v>
      </c>
      <c r="CV105" s="18">
        <f>CS105+CU105</f>
        <v>0</v>
      </c>
      <c r="CX105" s="349"/>
      <c r="CY105" s="18">
        <f>CV105+CX105</f>
        <v>0</v>
      </c>
      <c r="DA105" s="327">
        <v>0</v>
      </c>
      <c r="DC105" s="327"/>
    </row>
    <row r="106" spans="1:108" outlineLevel="2">
      <c r="A106" s="14" t="s">
        <v>175</v>
      </c>
      <c r="B106" s="14" t="s">
        <v>148</v>
      </c>
      <c r="C106" s="4" t="s">
        <v>149</v>
      </c>
      <c r="D106" s="52">
        <v>50000</v>
      </c>
      <c r="E106" s="37">
        <v>0</v>
      </c>
      <c r="F106" s="52">
        <v>50000</v>
      </c>
      <c r="G106" s="37">
        <v>0</v>
      </c>
      <c r="H106" s="56">
        <v>0</v>
      </c>
      <c r="I106" s="40">
        <v>0</v>
      </c>
      <c r="J106" s="17"/>
      <c r="M106" s="20">
        <f t="shared" si="206"/>
        <v>-1</v>
      </c>
      <c r="N106" s="20" t="e">
        <f t="shared" si="207"/>
        <v>#DIV/0!</v>
      </c>
      <c r="Y106" s="134"/>
      <c r="AC106" s="219"/>
      <c r="AD106" s="219"/>
      <c r="AF106" s="213"/>
      <c r="AH106" s="18"/>
      <c r="AX106" s="18"/>
      <c r="BD106" s="18"/>
      <c r="BG106" s="18"/>
      <c r="BM106" s="290"/>
      <c r="BQ106" s="290"/>
      <c r="BR106" s="290"/>
      <c r="BT106" s="290"/>
      <c r="BU106" s="290"/>
      <c r="BW106" s="290"/>
      <c r="BX106" s="290"/>
      <c r="BZ106" s="290"/>
      <c r="CA106" s="290"/>
      <c r="CC106" s="290"/>
      <c r="CD106" s="290"/>
      <c r="CF106" s="290"/>
      <c r="CG106" s="290"/>
      <c r="CI106" s="290"/>
      <c r="CJ106" s="290"/>
      <c r="CL106" s="327">
        <v>1000</v>
      </c>
      <c r="CM106" s="18">
        <f>CJ106+CL106</f>
        <v>1000</v>
      </c>
      <c r="CO106" s="327"/>
      <c r="CP106" s="18">
        <f>CM106+CO106</f>
        <v>1000</v>
      </c>
      <c r="CR106" s="327"/>
      <c r="CS106" s="18">
        <f>CP106+CR106</f>
        <v>1000</v>
      </c>
      <c r="CU106" s="327"/>
      <c r="CV106" s="18">
        <f>CS106+CU106</f>
        <v>1000</v>
      </c>
      <c r="CX106" s="327"/>
      <c r="CY106" s="18">
        <f>CV106+CX106</f>
        <v>1000</v>
      </c>
      <c r="DA106" s="327">
        <v>999</v>
      </c>
      <c r="DC106" s="327"/>
    </row>
    <row r="107" spans="1:108" outlineLevel="2">
      <c r="A107" s="14" t="s">
        <v>175</v>
      </c>
      <c r="B107" s="14" t="s">
        <v>117</v>
      </c>
      <c r="C107" s="4" t="s">
        <v>118</v>
      </c>
      <c r="D107" s="52">
        <v>7000</v>
      </c>
      <c r="E107" s="37">
        <v>0</v>
      </c>
      <c r="F107" s="52">
        <v>7000</v>
      </c>
      <c r="G107" s="37">
        <v>0</v>
      </c>
      <c r="H107" s="56">
        <v>0</v>
      </c>
      <c r="I107" s="40">
        <v>0</v>
      </c>
      <c r="J107" s="17"/>
      <c r="M107" s="20">
        <f t="shared" si="206"/>
        <v>-1</v>
      </c>
      <c r="N107" s="20" t="e">
        <f t="shared" si="207"/>
        <v>#DIV/0!</v>
      </c>
      <c r="Y107" s="134"/>
      <c r="AC107" s="219"/>
      <c r="AD107" s="219"/>
      <c r="AF107" s="213"/>
      <c r="AH107" s="18"/>
      <c r="AX107" s="18"/>
      <c r="BD107" s="18">
        <v>75000</v>
      </c>
      <c r="BE107" s="18">
        <f t="shared" ref="BE107:BE108" si="227">BB107+BD107</f>
        <v>75000</v>
      </c>
      <c r="BG107" s="18"/>
      <c r="BH107" s="18">
        <f t="shared" ref="BH107:BH108" si="228">BE107+BG107</f>
        <v>75000</v>
      </c>
      <c r="BJ107" s="18">
        <v>72600</v>
      </c>
      <c r="BK107" s="279">
        <f t="shared" ref="BK107:BK108" si="229">BJ107/BH107</f>
        <v>0.96799999999999997</v>
      </c>
      <c r="BM107" s="327">
        <v>20000</v>
      </c>
      <c r="BN107" s="279">
        <f t="shared" ref="BN107:BN108" si="230">BM107/BJ107</f>
        <v>0.27548209366391185</v>
      </c>
      <c r="BO107" s="279">
        <f t="shared" ref="BO107:BO108" si="231">BM107/BH107</f>
        <v>0.26666666666666666</v>
      </c>
      <c r="BQ107" s="289"/>
      <c r="BR107" s="18">
        <f t="shared" ref="BR107:BR109" si="232">BM107+BQ107</f>
        <v>20000</v>
      </c>
      <c r="BT107" s="289"/>
      <c r="BU107" s="18">
        <f>BR107+BT107</f>
        <v>20000</v>
      </c>
      <c r="BW107" s="289"/>
      <c r="BX107" s="18">
        <f>BU107+BW107</f>
        <v>20000</v>
      </c>
      <c r="BZ107" s="289"/>
      <c r="CA107" s="18">
        <f>BX107+BZ107</f>
        <v>20000</v>
      </c>
      <c r="CC107" s="289"/>
      <c r="CD107" s="18">
        <f>CA107+CC107</f>
        <v>20000</v>
      </c>
      <c r="CF107" s="289"/>
      <c r="CG107" s="18">
        <f>CD107+CF107</f>
        <v>20000</v>
      </c>
      <c r="CI107" s="289"/>
      <c r="CJ107" s="18">
        <f>CG107+CI107</f>
        <v>20000</v>
      </c>
      <c r="CM107" s="18">
        <f>CJ107+CL107</f>
        <v>20000</v>
      </c>
      <c r="CO107" s="327">
        <v>-20000</v>
      </c>
      <c r="CP107" s="18">
        <f>CM107+CO107</f>
        <v>0</v>
      </c>
      <c r="CR107" s="327"/>
      <c r="CS107" s="18">
        <f>CP107+CR107</f>
        <v>0</v>
      </c>
      <c r="CU107" s="327"/>
      <c r="CV107" s="18">
        <f>CS107+CU107</f>
        <v>0</v>
      </c>
      <c r="CX107" s="327"/>
      <c r="CY107" s="18">
        <f>CV107+CX107</f>
        <v>0</v>
      </c>
      <c r="DA107" s="327"/>
      <c r="DC107" s="327">
        <f>(66000+8000+18000+12000+0.02*DC109)*1.21+160</f>
        <v>126000</v>
      </c>
    </row>
    <row r="108" spans="1:108" outlineLevel="2">
      <c r="A108" s="14" t="s">
        <v>175</v>
      </c>
      <c r="B108" s="14" t="s">
        <v>119</v>
      </c>
      <c r="C108" s="4" t="s">
        <v>120</v>
      </c>
      <c r="D108" s="52">
        <v>398000</v>
      </c>
      <c r="E108" s="37">
        <v>2.4500000000000002</v>
      </c>
      <c r="F108" s="52">
        <v>398000</v>
      </c>
      <c r="G108" s="37">
        <v>2.4500000000000002</v>
      </c>
      <c r="H108" s="56">
        <v>9765</v>
      </c>
      <c r="I108" s="40">
        <v>9765</v>
      </c>
      <c r="J108" s="17"/>
      <c r="L108" s="134">
        <f>'[1]2020'!$Q$23+'[1]2020'!$Q$41+'[1]2020'!$Q$42</f>
        <v>330000</v>
      </c>
      <c r="M108" s="20">
        <f t="shared" si="206"/>
        <v>-0.17085427135678388</v>
      </c>
      <c r="N108" s="20">
        <f t="shared" si="207"/>
        <v>32.794162826420894</v>
      </c>
      <c r="Q108" s="134">
        <v>674000</v>
      </c>
      <c r="R108" s="18">
        <v>550715</v>
      </c>
      <c r="S108" s="178">
        <v>740000</v>
      </c>
      <c r="T108" s="18">
        <f>S108-Q108</f>
        <v>66000</v>
      </c>
      <c r="U108" s="19">
        <f>S108/Q108-1</f>
        <v>9.7922848664688367E-2</v>
      </c>
      <c r="V108" s="159">
        <v>310000</v>
      </c>
      <c r="X108">
        <v>-20000</v>
      </c>
      <c r="Y108" s="143">
        <v>740000</v>
      </c>
      <c r="AA108" s="134">
        <v>740000</v>
      </c>
      <c r="AB108" s="216">
        <f t="shared" ref="AB108:AB109" si="233">AA108-Y108</f>
        <v>0</v>
      </c>
      <c r="AC108" s="219">
        <f t="shared" si="217"/>
        <v>0</v>
      </c>
      <c r="AD108" s="219"/>
      <c r="AE108" s="134">
        <v>740000</v>
      </c>
      <c r="AF108" s="213"/>
      <c r="AH108" s="18">
        <v>716318.59</v>
      </c>
      <c r="AI108" s="20">
        <f t="shared" ref="AI108:AI109" si="234">AH108/AE108</f>
        <v>0.96799809459459452</v>
      </c>
      <c r="AK108" s="214">
        <f>(28000+30000)*1.21+35000+320+4500</f>
        <v>110000</v>
      </c>
      <c r="AS108" s="18">
        <f t="shared" ref="AS108:AS109" si="235">AR108+AK108</f>
        <v>110000</v>
      </c>
      <c r="AV108" s="18">
        <f t="shared" ref="AV108" si="236">AS108+AU108</f>
        <v>110000</v>
      </c>
      <c r="AX108" s="18"/>
      <c r="AY108" s="18">
        <f t="shared" ref="AY108" si="237">AV108+AX108</f>
        <v>110000</v>
      </c>
      <c r="BB108" s="18">
        <f t="shared" ref="BB108" si="238">AY108+BA108</f>
        <v>110000</v>
      </c>
      <c r="BD108" s="18">
        <v>-20000</v>
      </c>
      <c r="BE108" s="18">
        <f t="shared" si="227"/>
        <v>90000</v>
      </c>
      <c r="BG108" s="18">
        <v>-1500</v>
      </c>
      <c r="BH108" s="18">
        <f t="shared" si="228"/>
        <v>88500</v>
      </c>
      <c r="BJ108" s="18">
        <v>84700</v>
      </c>
      <c r="BK108" s="279">
        <f t="shared" si="229"/>
        <v>0.95706214689265534</v>
      </c>
      <c r="BM108" s="348">
        <v>1720000</v>
      </c>
      <c r="BN108" s="279">
        <f t="shared" si="230"/>
        <v>20.306965761511215</v>
      </c>
      <c r="BO108" s="279">
        <f t="shared" si="231"/>
        <v>19.435028248587571</v>
      </c>
      <c r="BQ108" s="289"/>
      <c r="BR108" s="18">
        <f t="shared" si="232"/>
        <v>1720000</v>
      </c>
      <c r="BT108" s="289"/>
      <c r="BU108" s="18">
        <f>BR108+BT108</f>
        <v>1720000</v>
      </c>
      <c r="BW108" s="289">
        <v>220000</v>
      </c>
      <c r="BX108" s="18">
        <f>BU108+BW108</f>
        <v>1940000</v>
      </c>
      <c r="BZ108" s="289"/>
      <c r="CA108" s="18">
        <f>BX108+BZ108</f>
        <v>1940000</v>
      </c>
      <c r="CC108" s="289"/>
      <c r="CD108" s="18">
        <f>CA108+CC108</f>
        <v>1940000</v>
      </c>
      <c r="CF108" s="289"/>
      <c r="CG108" s="18">
        <f>CD108+CF108</f>
        <v>1940000</v>
      </c>
      <c r="CH108" s="206">
        <v>32338.48</v>
      </c>
      <c r="CI108" s="349">
        <v>33000</v>
      </c>
      <c r="CJ108" s="18">
        <f>CG108+CI108</f>
        <v>1973000</v>
      </c>
      <c r="CM108" s="18">
        <f>CJ108+CL108</f>
        <v>1973000</v>
      </c>
      <c r="CO108" s="327"/>
      <c r="CP108" s="18">
        <f>CM108+CO108</f>
        <v>1973000</v>
      </c>
      <c r="CR108" s="327"/>
      <c r="CS108" s="18">
        <f>CP108+CR108</f>
        <v>1973000</v>
      </c>
      <c r="CU108" s="349">
        <v>8000</v>
      </c>
      <c r="CV108" s="18">
        <f>CS108+CU108</f>
        <v>1981000</v>
      </c>
      <c r="CX108" s="349"/>
      <c r="CY108" s="18">
        <f>CV108+CX108</f>
        <v>1981000</v>
      </c>
      <c r="DA108" s="327">
        <v>1980397.69</v>
      </c>
      <c r="DC108" s="327"/>
    </row>
    <row r="109" spans="1:108" outlineLevel="2">
      <c r="A109" s="14" t="s">
        <v>175</v>
      </c>
      <c r="B109" s="14" t="s">
        <v>210</v>
      </c>
      <c r="C109" s="4" t="s">
        <v>331</v>
      </c>
      <c r="D109" s="52"/>
      <c r="E109" s="37"/>
      <c r="F109" s="52"/>
      <c r="G109" s="37"/>
      <c r="H109" s="56"/>
      <c r="I109" s="40"/>
      <c r="J109" s="17"/>
      <c r="L109" s="134">
        <f>'[1]2020'!$Q$13+'[1]2020'!$Q$14</f>
        <v>500000</v>
      </c>
      <c r="M109" s="20" t="e">
        <f t="shared" si="206"/>
        <v>#DIV/0!</v>
      </c>
      <c r="N109" s="20" t="e">
        <f t="shared" si="207"/>
        <v>#DIV/0!</v>
      </c>
      <c r="Q109" s="134">
        <v>177000</v>
      </c>
      <c r="R109" s="18">
        <v>175690</v>
      </c>
      <c r="S109" s="134">
        <v>201000</v>
      </c>
      <c r="T109" s="18">
        <f>S109-Q109</f>
        <v>24000</v>
      </c>
      <c r="U109" s="19">
        <f>S109/Q109-1</f>
        <v>0.13559322033898313</v>
      </c>
      <c r="V109" s="159">
        <v>477000</v>
      </c>
      <c r="W109">
        <v>-23000</v>
      </c>
      <c r="Y109" s="134">
        <v>201000</v>
      </c>
      <c r="AA109" s="134">
        <v>218000</v>
      </c>
      <c r="AB109" s="216">
        <f t="shared" si="233"/>
        <v>17000</v>
      </c>
      <c r="AC109" s="219">
        <f t="shared" si="217"/>
        <v>17000</v>
      </c>
      <c r="AD109" s="219"/>
      <c r="AE109" s="134">
        <v>218000</v>
      </c>
      <c r="AF109" s="213"/>
      <c r="AH109" s="18">
        <v>216547.72</v>
      </c>
      <c r="AI109" s="20">
        <f t="shared" si="234"/>
        <v>0.99333816513761464</v>
      </c>
      <c r="AK109" s="214">
        <v>0</v>
      </c>
      <c r="AS109" s="18">
        <f t="shared" si="235"/>
        <v>0</v>
      </c>
      <c r="AX109" s="18"/>
      <c r="BD109" s="18"/>
      <c r="BG109" s="18"/>
      <c r="BM109" s="348">
        <v>315000</v>
      </c>
      <c r="BQ109" s="289"/>
      <c r="BR109" s="18">
        <f t="shared" si="232"/>
        <v>315000</v>
      </c>
      <c r="BT109" s="289"/>
      <c r="BU109" s="18">
        <f>BR109+BT109</f>
        <v>315000</v>
      </c>
      <c r="BW109" s="289"/>
      <c r="BX109" s="18">
        <f>BU109+BW109</f>
        <v>315000</v>
      </c>
      <c r="BZ109" s="289"/>
      <c r="CA109" s="18">
        <f>BX109+BZ109</f>
        <v>315000</v>
      </c>
      <c r="CC109" s="289"/>
      <c r="CD109" s="18">
        <f>CA109+CC109</f>
        <v>315000</v>
      </c>
      <c r="CF109" s="289"/>
      <c r="CG109" s="18">
        <f>CD109+CF109</f>
        <v>315000</v>
      </c>
      <c r="CI109" s="289"/>
      <c r="CJ109" s="18">
        <f>CG109+CI109</f>
        <v>315000</v>
      </c>
      <c r="CL109" s="327">
        <v>48300</v>
      </c>
      <c r="CM109" s="18">
        <f>CJ109+CL109</f>
        <v>363300</v>
      </c>
      <c r="CN109">
        <v>48300</v>
      </c>
      <c r="CP109" s="18">
        <f>CM109+CO109</f>
        <v>363300</v>
      </c>
      <c r="CS109" s="18">
        <f>CP109+CR109</f>
        <v>363300</v>
      </c>
      <c r="CU109" s="349">
        <v>21500</v>
      </c>
      <c r="CV109" s="18">
        <f>CS109+CU109</f>
        <v>384800</v>
      </c>
      <c r="CX109" s="349"/>
      <c r="CY109" s="18">
        <f>CV109+CX109</f>
        <v>384800</v>
      </c>
      <c r="DA109" s="289">
        <v>384506</v>
      </c>
      <c r="DD109" s="289">
        <v>1800000</v>
      </c>
    </row>
    <row r="110" spans="1:108" outlineLevel="2">
      <c r="A110" s="14" t="s">
        <v>175</v>
      </c>
      <c r="B110" s="4" t="s">
        <v>46</v>
      </c>
      <c r="C110" s="4" t="s">
        <v>176</v>
      </c>
      <c r="D110" s="52">
        <v>455000</v>
      </c>
      <c r="E110" s="37">
        <v>2.15</v>
      </c>
      <c r="F110" s="52">
        <v>455000</v>
      </c>
      <c r="G110" s="37">
        <v>2.15</v>
      </c>
      <c r="H110" s="56">
        <v>9765</v>
      </c>
      <c r="I110" s="40"/>
      <c r="J110" s="17"/>
      <c r="Y110" s="134"/>
      <c r="AF110" s="213"/>
      <c r="AH110" s="18"/>
      <c r="AX110" s="18"/>
      <c r="BD110" s="18"/>
      <c r="BG110" s="18"/>
    </row>
    <row r="111" spans="1:108" ht="15.75" thickBot="1">
      <c r="A111" s="70" t="s">
        <v>175</v>
      </c>
      <c r="B111" s="71" t="s">
        <v>320</v>
      </c>
      <c r="C111" s="338" t="s">
        <v>340</v>
      </c>
      <c r="D111" s="73">
        <f>SUM(D106:D108)</f>
        <v>455000</v>
      </c>
      <c r="E111" s="74"/>
      <c r="F111" s="73">
        <f>SUM(F106:F108)</f>
        <v>455000</v>
      </c>
      <c r="G111" s="74"/>
      <c r="H111" s="73"/>
      <c r="I111" s="73">
        <f>SUM(I106:I108)</f>
        <v>9765</v>
      </c>
      <c r="J111" s="156" t="e">
        <f>I111/$I$304</f>
        <v>#REF!</v>
      </c>
      <c r="K111" s="76"/>
      <c r="L111" s="138">
        <f>SUM(L104:L108)</f>
        <v>330000</v>
      </c>
      <c r="M111" s="77">
        <f t="shared" ref="M111:M118" si="239">L111/F111-1</f>
        <v>-0.27472527472527475</v>
      </c>
      <c r="N111" s="77">
        <f t="shared" ref="N111:N118" si="240">L111/I111-1</f>
        <v>32.794162826420894</v>
      </c>
      <c r="O111" s="20">
        <f>L111/$L$304</f>
        <v>7.6566126711204205E-2</v>
      </c>
      <c r="P111" s="20"/>
      <c r="Q111" s="138">
        <f>SUM(Q104:Q108)</f>
        <v>683500</v>
      </c>
      <c r="R111" s="138">
        <f>SUM(R104:R108)</f>
        <v>550715</v>
      </c>
      <c r="S111" s="138">
        <f>SUM(S104:S108)</f>
        <v>749500</v>
      </c>
      <c r="T111" s="138">
        <f>SUM(T104:T108)</f>
        <v>66000</v>
      </c>
      <c r="U111" s="175">
        <f t="shared" ref="U111:U118" si="241">S111/Q111-1</f>
        <v>9.6561814191660655E-2</v>
      </c>
      <c r="Y111" s="138">
        <f>SUM(Y104:Y108)</f>
        <v>749500</v>
      </c>
      <c r="AA111" s="138">
        <f>SUM(AA104:AA108)</f>
        <v>759000</v>
      </c>
      <c r="AB111" s="138">
        <f>SUM(AB104:AB108)</f>
        <v>9500</v>
      </c>
      <c r="AE111" s="138">
        <f>SUM(AE104:AE108)</f>
        <v>759000</v>
      </c>
      <c r="AF111" s="213"/>
      <c r="AH111" s="138">
        <f>SUM(AH104:AH108)</f>
        <v>725818.59</v>
      </c>
      <c r="AI111" s="20">
        <f t="shared" ref="AI111:AI114" si="242">AH111/AE111</f>
        <v>0.95628272727272723</v>
      </c>
      <c r="AK111" s="138">
        <f>SUM(AK104:AK108)</f>
        <v>119500</v>
      </c>
      <c r="AL111" s="229">
        <f t="shared" ref="AL111:AL113" si="243">AK111/L111</f>
        <v>0.36212121212121212</v>
      </c>
      <c r="AM111" s="20">
        <f t="shared" ref="AM111:AM113" si="244">AK111/AE111</f>
        <v>0.15744400527009222</v>
      </c>
      <c r="AN111" s="20">
        <f t="shared" ref="AN111:AN113" si="245">AK111/AH111</f>
        <v>0.16464169097680456</v>
      </c>
      <c r="AS111" s="138">
        <f>SUM(AS104:AS108)</f>
        <v>119500</v>
      </c>
      <c r="AU111" s="138">
        <f>SUM(AU104:AU108)</f>
        <v>33300</v>
      </c>
      <c r="AV111" s="138">
        <f>SUM(AV104:AV108)</f>
        <v>152800</v>
      </c>
      <c r="AX111" s="138">
        <f>SUM(AX104:AX108)</f>
        <v>0</v>
      </c>
      <c r="AY111" s="138">
        <f>SUM(AY104:AY108)</f>
        <v>152800</v>
      </c>
      <c r="BA111" s="138">
        <f>SUM(BA104:BA108)</f>
        <v>0</v>
      </c>
      <c r="BB111" s="138">
        <f>SUM(BB104:BB108)</f>
        <v>152800</v>
      </c>
      <c r="BD111" s="138">
        <f>SUM(BD104:BD108)</f>
        <v>55000</v>
      </c>
      <c r="BE111" s="138">
        <f>SUM(BE104:BE108)</f>
        <v>207800</v>
      </c>
      <c r="BG111" s="138">
        <f>SUM(BG104:BG108)</f>
        <v>-1500</v>
      </c>
      <c r="BH111" s="138">
        <f>SUM(BH104:BH108)</f>
        <v>206300</v>
      </c>
      <c r="BJ111" s="138">
        <f>SUM(BJ104:BJ108)</f>
        <v>200068.9</v>
      </c>
      <c r="BK111" s="280">
        <f t="shared" ref="BK111:BK113" si="246">BJ111/BH111</f>
        <v>0.96979592825981575</v>
      </c>
      <c r="BM111" s="138">
        <f>SUM(BM104:BM108)</f>
        <v>1750000</v>
      </c>
      <c r="BN111" s="280">
        <f t="shared" ref="BN111:BN113" si="247">BM111/BJ111</f>
        <v>8.7469866630945639</v>
      </c>
      <c r="BO111" s="280">
        <f t="shared" ref="BO111:BO113" si="248">BM111/BH111</f>
        <v>8.4827920504120211</v>
      </c>
      <c r="BQ111" s="138">
        <f>SUM(BQ104:BQ108)</f>
        <v>0</v>
      </c>
      <c r="BR111" s="138">
        <f>SUM(BR104:BR108)</f>
        <v>1750000</v>
      </c>
      <c r="BT111" s="138">
        <f>SUM(BT104:BT108)</f>
        <v>0</v>
      </c>
      <c r="BU111" s="138">
        <f>SUM(BU104:BU108)</f>
        <v>1750000</v>
      </c>
      <c r="BW111" s="138">
        <f>SUM(BW104:BW108)</f>
        <v>220000</v>
      </c>
      <c r="BX111" s="138">
        <f>SUM(BX104:BX108)</f>
        <v>1970000</v>
      </c>
      <c r="BZ111" s="138">
        <f>SUM(BZ104:BZ108)</f>
        <v>0</v>
      </c>
      <c r="CA111" s="138">
        <f>SUM(CA104:CA108)</f>
        <v>1970000</v>
      </c>
      <c r="CC111" s="138">
        <f>SUM(CC104:CC108)</f>
        <v>0</v>
      </c>
      <c r="CD111" s="138">
        <f>SUM(CD104:CD108)</f>
        <v>1970000</v>
      </c>
      <c r="CF111" s="138">
        <f>SUM(CF104:CF108)</f>
        <v>0</v>
      </c>
      <c r="CG111" s="138">
        <f>SUM(CG104:CG108)</f>
        <v>1970000</v>
      </c>
      <c r="CI111" s="138">
        <f>SUM(CI104:CI108)</f>
        <v>33000</v>
      </c>
      <c r="CJ111" s="138">
        <f>SUM(CJ104:CJ108)</f>
        <v>2003000</v>
      </c>
      <c r="CL111" s="391">
        <f>SUM(CL104:CL108)</f>
        <v>1000</v>
      </c>
      <c r="CM111" s="138">
        <f>SUM(CM104:CM108)</f>
        <v>2004000</v>
      </c>
      <c r="CO111" s="138">
        <f>SUM(CO104:CO108)</f>
        <v>-25000</v>
      </c>
      <c r="CP111" s="138">
        <f>SUM(CP104:CP108)</f>
        <v>1979000</v>
      </c>
      <c r="CR111" s="138">
        <f>SUM(CR104:CR108)</f>
        <v>0</v>
      </c>
      <c r="CS111" s="138">
        <f>SUM(CS104:CS108)</f>
        <v>1979000</v>
      </c>
      <c r="CU111" s="138">
        <f>SUM(CU104:CU108)</f>
        <v>3000</v>
      </c>
      <c r="CV111" s="138">
        <f>SUM(CV104:CV108)</f>
        <v>1982000</v>
      </c>
      <c r="CX111" s="138">
        <f>SUM(CX104:CX108)</f>
        <v>0</v>
      </c>
      <c r="CY111" s="138">
        <f>SUM(CY104:CY108)</f>
        <v>1982000</v>
      </c>
      <c r="DA111" s="138">
        <f>SUM(DA104:DA109)</f>
        <v>2365902.69</v>
      </c>
      <c r="DC111" s="138">
        <f>SUM(DC104:DC108)</f>
        <v>126000</v>
      </c>
    </row>
    <row r="112" spans="1:108" ht="16.5" thickTop="1" thickBot="1">
      <c r="A112" s="80" t="s">
        <v>175</v>
      </c>
      <c r="B112" s="81" t="s">
        <v>362</v>
      </c>
      <c r="C112" s="339" t="s">
        <v>341</v>
      </c>
      <c r="D112" s="82">
        <f>D108</f>
        <v>398000</v>
      </c>
      <c r="E112" s="83"/>
      <c r="F112" s="82">
        <f>F108</f>
        <v>398000</v>
      </c>
      <c r="G112" s="83"/>
      <c r="H112" s="82"/>
      <c r="I112" s="82">
        <f>I108</f>
        <v>9765</v>
      </c>
      <c r="J112" s="84"/>
      <c r="K112" s="85"/>
      <c r="L112" s="139">
        <f>L108</f>
        <v>330000</v>
      </c>
      <c r="M112" s="86">
        <f t="shared" si="239"/>
        <v>-0.17085427135678388</v>
      </c>
      <c r="N112" s="86">
        <f t="shared" si="240"/>
        <v>32.794162826420894</v>
      </c>
      <c r="Q112" s="139">
        <f t="shared" ref="Q112:T113" si="249">Q108</f>
        <v>674000</v>
      </c>
      <c r="R112" s="139">
        <f t="shared" si="249"/>
        <v>550715</v>
      </c>
      <c r="S112" s="139">
        <f t="shared" si="249"/>
        <v>740000</v>
      </c>
      <c r="T112" s="139">
        <f t="shared" si="249"/>
        <v>66000</v>
      </c>
      <c r="U112" s="175">
        <f t="shared" si="241"/>
        <v>9.7922848664688367E-2</v>
      </c>
      <c r="Y112" s="139">
        <f>Y108</f>
        <v>740000</v>
      </c>
      <c r="AA112" s="139">
        <f>AA108</f>
        <v>740000</v>
      </c>
      <c r="AB112" s="139">
        <f>AB108</f>
        <v>0</v>
      </c>
      <c r="AE112" s="139">
        <f>AE108</f>
        <v>740000</v>
      </c>
      <c r="AF112" s="213"/>
      <c r="AH112" s="139">
        <f>AH108</f>
        <v>716318.59</v>
      </c>
      <c r="AI112" s="20">
        <f t="shared" si="242"/>
        <v>0.96799809459459452</v>
      </c>
      <c r="AK112" s="139">
        <f>AK108</f>
        <v>110000</v>
      </c>
      <c r="AL112" s="229">
        <f t="shared" si="243"/>
        <v>0.33333333333333331</v>
      </c>
      <c r="AM112" s="20">
        <f t="shared" si="244"/>
        <v>0.14864864864864866</v>
      </c>
      <c r="AN112" s="20">
        <f t="shared" si="245"/>
        <v>0.15356295583505658</v>
      </c>
      <c r="AS112" s="139">
        <f>AS108</f>
        <v>110000</v>
      </c>
      <c r="AU112" s="139">
        <f>AU108</f>
        <v>0</v>
      </c>
      <c r="AV112" s="139">
        <f>AV108</f>
        <v>110000</v>
      </c>
      <c r="AX112" s="139">
        <f>AX108</f>
        <v>0</v>
      </c>
      <c r="AY112" s="139">
        <f>AY108</f>
        <v>110000</v>
      </c>
      <c r="BA112" s="139">
        <f>BA108</f>
        <v>0</v>
      </c>
      <c r="BB112" s="139">
        <f>BB108</f>
        <v>110000</v>
      </c>
      <c r="BD112" s="139">
        <f>BD108</f>
        <v>-20000</v>
      </c>
      <c r="BE112" s="139">
        <f>BE108</f>
        <v>90000</v>
      </c>
      <c r="BG112" s="139">
        <f>BG108</f>
        <v>-1500</v>
      </c>
      <c r="BH112" s="139">
        <f>BH108</f>
        <v>88500</v>
      </c>
      <c r="BJ112" s="139">
        <f>BJ108</f>
        <v>84700</v>
      </c>
      <c r="BK112" s="280">
        <f t="shared" si="246"/>
        <v>0.95706214689265534</v>
      </c>
      <c r="BM112" s="139">
        <f>BM108</f>
        <v>1720000</v>
      </c>
      <c r="BN112" s="280">
        <f t="shared" si="247"/>
        <v>20.306965761511215</v>
      </c>
      <c r="BO112" s="280">
        <f t="shared" si="248"/>
        <v>19.435028248587571</v>
      </c>
      <c r="BQ112" s="139">
        <f>BQ108</f>
        <v>0</v>
      </c>
      <c r="BR112" s="139">
        <f>BR108</f>
        <v>1720000</v>
      </c>
      <c r="BT112" s="139">
        <f>BT108</f>
        <v>0</v>
      </c>
      <c r="BU112" s="139">
        <f>BU108</f>
        <v>1720000</v>
      </c>
      <c r="BW112" s="139">
        <f>BW108</f>
        <v>220000</v>
      </c>
      <c r="BX112" s="139">
        <f>BX108</f>
        <v>1940000</v>
      </c>
      <c r="BZ112" s="139">
        <f>BZ108</f>
        <v>0</v>
      </c>
      <c r="CA112" s="139">
        <f>CA108</f>
        <v>1940000</v>
      </c>
      <c r="CC112" s="139">
        <f>CC108</f>
        <v>0</v>
      </c>
      <c r="CD112" s="139">
        <f>CD108</f>
        <v>1940000</v>
      </c>
      <c r="CF112" s="139">
        <f>CF108</f>
        <v>0</v>
      </c>
      <c r="CG112" s="139">
        <f>CG108</f>
        <v>1940000</v>
      </c>
      <c r="CI112" s="139">
        <f>CI108</f>
        <v>33000</v>
      </c>
      <c r="CJ112" s="139">
        <f>CJ108</f>
        <v>1973000</v>
      </c>
      <c r="CL112" s="391">
        <f>CL108</f>
        <v>0</v>
      </c>
      <c r="CM112" s="139">
        <f>CM108</f>
        <v>1973000</v>
      </c>
      <c r="CO112" s="139">
        <f>CO108</f>
        <v>0</v>
      </c>
      <c r="CP112" s="139">
        <f>CP108</f>
        <v>1973000</v>
      </c>
      <c r="CR112" s="139">
        <f>CR108</f>
        <v>0</v>
      </c>
      <c r="CS112" s="139">
        <f>CS108</f>
        <v>1973000</v>
      </c>
      <c r="CU112" s="139">
        <f>CU108</f>
        <v>8000</v>
      </c>
      <c r="CV112" s="139">
        <f>CV108</f>
        <v>1981000</v>
      </c>
      <c r="CX112" s="139">
        <f>CX108</f>
        <v>0</v>
      </c>
      <c r="CY112" s="139">
        <f>CY108</f>
        <v>1981000</v>
      </c>
      <c r="DA112" s="139">
        <f>DA108</f>
        <v>1980397.69</v>
      </c>
      <c r="DC112" s="139">
        <f>DC108</f>
        <v>0</v>
      </c>
    </row>
    <row r="113" spans="1:107" ht="16.5" thickTop="1" thickBot="1">
      <c r="A113" s="91" t="s">
        <v>175</v>
      </c>
      <c r="B113" s="92" t="s">
        <v>281</v>
      </c>
      <c r="C113" s="340" t="s">
        <v>342</v>
      </c>
      <c r="D113" s="94">
        <f>D109</f>
        <v>0</v>
      </c>
      <c r="E113" s="95"/>
      <c r="F113" s="94">
        <f>F109</f>
        <v>0</v>
      </c>
      <c r="G113" s="95"/>
      <c r="H113" s="94"/>
      <c r="I113" s="94">
        <f>I109</f>
        <v>0</v>
      </c>
      <c r="J113" s="96"/>
      <c r="K113" s="93"/>
      <c r="L113" s="140">
        <f>L109</f>
        <v>500000</v>
      </c>
      <c r="M113" s="97" t="e">
        <f t="shared" si="239"/>
        <v>#DIV/0!</v>
      </c>
      <c r="N113" s="97" t="e">
        <f t="shared" si="240"/>
        <v>#DIV/0!</v>
      </c>
      <c r="Q113" s="140">
        <f t="shared" si="249"/>
        <v>177000</v>
      </c>
      <c r="R113" s="140">
        <f t="shared" si="249"/>
        <v>175690</v>
      </c>
      <c r="S113" s="140">
        <f t="shared" si="249"/>
        <v>201000</v>
      </c>
      <c r="T113" s="140">
        <f t="shared" si="249"/>
        <v>24000</v>
      </c>
      <c r="U113" s="176">
        <f t="shared" si="241"/>
        <v>0.13559322033898313</v>
      </c>
      <c r="Y113" s="140">
        <f>Y109</f>
        <v>201000</v>
      </c>
      <c r="AA113" s="140">
        <f>AA109</f>
        <v>218000</v>
      </c>
      <c r="AB113" s="140">
        <f>AB109</f>
        <v>17000</v>
      </c>
      <c r="AE113" s="140">
        <f>AE109</f>
        <v>218000</v>
      </c>
      <c r="AF113" s="213"/>
      <c r="AH113" s="140">
        <f>AH109</f>
        <v>216547.72</v>
      </c>
      <c r="AI113" s="20">
        <f t="shared" si="242"/>
        <v>0.99333816513761464</v>
      </c>
      <c r="AK113" s="140">
        <f>AK109</f>
        <v>0</v>
      </c>
      <c r="AL113" s="229">
        <f t="shared" si="243"/>
        <v>0</v>
      </c>
      <c r="AM113" s="20">
        <f t="shared" si="244"/>
        <v>0</v>
      </c>
      <c r="AN113" s="20">
        <f t="shared" si="245"/>
        <v>0</v>
      </c>
      <c r="AS113" s="140">
        <f>AS109</f>
        <v>0</v>
      </c>
      <c r="AU113" s="140">
        <f>AU109</f>
        <v>0</v>
      </c>
      <c r="AV113" s="140">
        <f>AV109</f>
        <v>0</v>
      </c>
      <c r="AX113" s="140">
        <f>AX109</f>
        <v>0</v>
      </c>
      <c r="AY113" s="140">
        <f>AY109</f>
        <v>0</v>
      </c>
      <c r="BA113" s="140">
        <f>BA109</f>
        <v>0</v>
      </c>
      <c r="BB113" s="140">
        <f>BB109</f>
        <v>0</v>
      </c>
      <c r="BD113" s="140">
        <f>BD109</f>
        <v>0</v>
      </c>
      <c r="BE113" s="140">
        <f>BE109</f>
        <v>0</v>
      </c>
      <c r="BG113" s="140">
        <f>BG109</f>
        <v>0</v>
      </c>
      <c r="BH113" s="140">
        <f>BH109</f>
        <v>0</v>
      </c>
      <c r="BJ113" s="140">
        <f>BJ109</f>
        <v>0</v>
      </c>
      <c r="BK113" s="281" t="e">
        <f t="shared" si="246"/>
        <v>#DIV/0!</v>
      </c>
      <c r="BM113" s="140">
        <f>BM109</f>
        <v>315000</v>
      </c>
      <c r="BN113" s="281" t="e">
        <f t="shared" si="247"/>
        <v>#DIV/0!</v>
      </c>
      <c r="BO113" s="281" t="e">
        <f t="shared" si="248"/>
        <v>#DIV/0!</v>
      </c>
      <c r="BQ113" s="140">
        <f>BQ109</f>
        <v>0</v>
      </c>
      <c r="BR113" s="140">
        <f>BR109</f>
        <v>315000</v>
      </c>
      <c r="BT113" s="140">
        <f>BT109</f>
        <v>0</v>
      </c>
      <c r="BU113" s="140">
        <f>BU109</f>
        <v>315000</v>
      </c>
      <c r="BW113" s="140">
        <f>BW109</f>
        <v>0</v>
      </c>
      <c r="BX113" s="140">
        <f>BX109</f>
        <v>315000</v>
      </c>
      <c r="BZ113" s="140">
        <f>BZ109</f>
        <v>0</v>
      </c>
      <c r="CA113" s="140">
        <f>CA109</f>
        <v>315000</v>
      </c>
      <c r="CC113" s="140">
        <f>CC109</f>
        <v>0</v>
      </c>
      <c r="CD113" s="140">
        <f>CD109</f>
        <v>315000</v>
      </c>
      <c r="CF113" s="140">
        <f>CF109</f>
        <v>0</v>
      </c>
      <c r="CG113" s="140">
        <f>CG109</f>
        <v>315000</v>
      </c>
      <c r="CI113" s="140">
        <f>CI109</f>
        <v>0</v>
      </c>
      <c r="CJ113" s="140">
        <f>CJ109</f>
        <v>315000</v>
      </c>
      <c r="CL113" s="391">
        <f>CL109</f>
        <v>48300</v>
      </c>
      <c r="CM113" s="140">
        <f>CM109</f>
        <v>363300</v>
      </c>
      <c r="CO113" s="140">
        <f>CO109</f>
        <v>0</v>
      </c>
      <c r="CP113" s="140">
        <f>CP109</f>
        <v>363300</v>
      </c>
      <c r="CR113" s="140">
        <f>CR109</f>
        <v>0</v>
      </c>
      <c r="CS113" s="140">
        <f>CS109</f>
        <v>363300</v>
      </c>
      <c r="CU113" s="140">
        <f>CU109</f>
        <v>21500</v>
      </c>
      <c r="CV113" s="140">
        <f>CV109</f>
        <v>384800</v>
      </c>
      <c r="CX113" s="140">
        <f>CX109</f>
        <v>0</v>
      </c>
      <c r="CY113" s="140">
        <f>CY109</f>
        <v>384800</v>
      </c>
      <c r="DA113" s="140">
        <f>DA109</f>
        <v>384506</v>
      </c>
      <c r="DC113" s="140">
        <f>DC109</f>
        <v>0</v>
      </c>
    </row>
    <row r="114" spans="1:107" ht="15.75" outlineLevel="1" thickTop="1">
      <c r="A114" s="14" t="s">
        <v>177</v>
      </c>
      <c r="B114" s="14" t="s">
        <v>115</v>
      </c>
      <c r="C114" s="4" t="s">
        <v>116</v>
      </c>
      <c r="D114" s="52">
        <v>30000</v>
      </c>
      <c r="E114" s="37">
        <v>73.569999999999993</v>
      </c>
      <c r="F114" s="52">
        <v>30000</v>
      </c>
      <c r="G114" s="37">
        <v>73.569999999999993</v>
      </c>
      <c r="H114" s="56">
        <v>22070.400000000001</v>
      </c>
      <c r="I114" s="40">
        <v>22070</v>
      </c>
      <c r="J114" s="17"/>
      <c r="L114" s="134">
        <f>'[1]2020'!$Q$56</f>
        <v>10000</v>
      </c>
      <c r="M114" s="20">
        <f t="shared" si="239"/>
        <v>-0.66666666666666674</v>
      </c>
      <c r="N114" s="20">
        <f t="shared" si="240"/>
        <v>-0.54689623923878572</v>
      </c>
      <c r="Q114" s="134">
        <v>10000</v>
      </c>
      <c r="R114" s="18">
        <v>0</v>
      </c>
      <c r="S114" s="143">
        <v>10000</v>
      </c>
      <c r="T114" s="18">
        <f>S114-Q114</f>
        <v>0</v>
      </c>
      <c r="U114" s="19">
        <f t="shared" si="241"/>
        <v>0</v>
      </c>
      <c r="Y114" s="143">
        <v>10000</v>
      </c>
      <c r="AA114" s="134">
        <v>36000</v>
      </c>
      <c r="AB114" s="216">
        <f t="shared" ref="AB114:AB118" si="250">AA114-Y114</f>
        <v>26000</v>
      </c>
      <c r="AC114" s="219">
        <f t="shared" ref="AC114:AC115" si="251">AA114-Y114</f>
        <v>26000</v>
      </c>
      <c r="AD114" s="219"/>
      <c r="AE114" s="134">
        <v>36000</v>
      </c>
      <c r="AF114" s="213"/>
      <c r="AH114" s="18">
        <v>27752.560000000001</v>
      </c>
      <c r="AI114" s="20">
        <f t="shared" si="242"/>
        <v>0.7709044444444445</v>
      </c>
      <c r="AK114" s="134">
        <v>0</v>
      </c>
      <c r="AS114" s="18">
        <f t="shared" ref="AS114" si="252">AR114+AK114</f>
        <v>0</v>
      </c>
      <c r="AV114" s="18">
        <f t="shared" ref="AV114" si="253">AS114+AU114</f>
        <v>0</v>
      </c>
      <c r="AX114" s="18"/>
      <c r="AY114" s="18">
        <f t="shared" ref="AY114" si="254">AV114+AX114</f>
        <v>0</v>
      </c>
      <c r="BB114" s="18">
        <f t="shared" ref="BB114" si="255">AY114+BA114</f>
        <v>0</v>
      </c>
      <c r="BD114" s="18"/>
      <c r="BE114" s="18">
        <f t="shared" ref="BE114" si="256">BB114+BD114</f>
        <v>0</v>
      </c>
      <c r="BG114" s="18"/>
      <c r="BH114" s="18">
        <f t="shared" ref="BH114" si="257">BE114+BG114</f>
        <v>0</v>
      </c>
      <c r="BM114" s="289"/>
      <c r="BQ114" s="289"/>
      <c r="BR114" s="289"/>
      <c r="BT114" s="289"/>
      <c r="BU114" s="289"/>
      <c r="BW114" s="289"/>
      <c r="BX114" s="289"/>
      <c r="BZ114" s="289"/>
      <c r="CA114" s="289"/>
      <c r="CC114" s="289"/>
      <c r="CD114" s="289"/>
      <c r="CF114" s="289"/>
      <c r="CG114" s="289"/>
      <c r="CI114" s="289"/>
      <c r="CJ114" s="289"/>
      <c r="CM114" s="289"/>
      <c r="CP114" s="289"/>
      <c r="CR114" s="327"/>
      <c r="CS114" s="289"/>
      <c r="CU114" s="327"/>
      <c r="CV114" s="289"/>
      <c r="CX114" s="327"/>
      <c r="CY114" s="289"/>
      <c r="DA114" s="327"/>
      <c r="DC114" s="327"/>
    </row>
    <row r="115" spans="1:107" outlineLevel="1">
      <c r="A115" s="14" t="s">
        <v>177</v>
      </c>
      <c r="B115" s="14" t="s">
        <v>148</v>
      </c>
      <c r="C115" s="4" t="s">
        <v>149</v>
      </c>
      <c r="D115" s="52">
        <v>2000</v>
      </c>
      <c r="E115" s="37">
        <v>91.66</v>
      </c>
      <c r="F115" s="52">
        <v>2000</v>
      </c>
      <c r="G115" s="37">
        <v>91.66</v>
      </c>
      <c r="H115" s="56">
        <v>1833.15</v>
      </c>
      <c r="I115" s="40">
        <v>2000</v>
      </c>
      <c r="J115" s="17"/>
      <c r="L115" s="134">
        <v>2000</v>
      </c>
      <c r="M115" s="20">
        <f t="shared" si="239"/>
        <v>0</v>
      </c>
      <c r="N115" s="20">
        <f t="shared" si="240"/>
        <v>0</v>
      </c>
      <c r="Q115" s="134">
        <v>2000</v>
      </c>
      <c r="R115" s="18">
        <v>0</v>
      </c>
      <c r="S115" s="134">
        <v>1000</v>
      </c>
      <c r="T115" s="18">
        <f>S115-Q115</f>
        <v>-1000</v>
      </c>
      <c r="U115" s="19">
        <f t="shared" si="241"/>
        <v>-0.5</v>
      </c>
      <c r="Y115" s="134">
        <v>1000</v>
      </c>
      <c r="AA115" s="134">
        <v>0</v>
      </c>
      <c r="AB115" s="216">
        <f t="shared" si="250"/>
        <v>-1000</v>
      </c>
      <c r="AC115" s="219">
        <f t="shared" si="251"/>
        <v>-1000</v>
      </c>
      <c r="AD115" s="219"/>
      <c r="AE115" s="134">
        <v>0</v>
      </c>
      <c r="AF115" s="213"/>
      <c r="AH115" s="18">
        <v>0</v>
      </c>
      <c r="AX115" s="18"/>
      <c r="BD115" s="18"/>
      <c r="BG115" s="18"/>
      <c r="CR115" s="327"/>
      <c r="CU115" s="327"/>
      <c r="CX115" s="327"/>
      <c r="DA115" s="327"/>
      <c r="DC115" s="327"/>
    </row>
    <row r="116" spans="1:107" outlineLevel="1">
      <c r="A116" s="14" t="s">
        <v>177</v>
      </c>
      <c r="B116" s="14" t="s">
        <v>163</v>
      </c>
      <c r="C116" s="4" t="s">
        <v>164</v>
      </c>
      <c r="D116" s="52">
        <v>16500</v>
      </c>
      <c r="E116" s="37">
        <v>131.85</v>
      </c>
      <c r="F116" s="52">
        <v>26500</v>
      </c>
      <c r="G116" s="37">
        <v>82.1</v>
      </c>
      <c r="H116" s="56">
        <v>21756</v>
      </c>
      <c r="I116" s="40">
        <v>26500</v>
      </c>
      <c r="J116" s="17"/>
      <c r="K116" t="s">
        <v>336</v>
      </c>
      <c r="L116" s="134">
        <v>34000</v>
      </c>
      <c r="M116" s="20">
        <f t="shared" si="239"/>
        <v>0.28301886792452824</v>
      </c>
      <c r="N116" s="20">
        <f t="shared" si="240"/>
        <v>0.28301886792452824</v>
      </c>
      <c r="Q116" s="134">
        <v>34000</v>
      </c>
      <c r="R116" s="18">
        <v>14220</v>
      </c>
      <c r="S116" s="134">
        <v>30000</v>
      </c>
      <c r="T116" s="18">
        <f>S116-Q116</f>
        <v>-4000</v>
      </c>
      <c r="U116" s="19">
        <f t="shared" si="241"/>
        <v>-0.11764705882352944</v>
      </c>
      <c r="Y116" s="134">
        <v>33000</v>
      </c>
      <c r="AA116" s="134">
        <v>35000</v>
      </c>
      <c r="AB116" s="216">
        <f t="shared" si="250"/>
        <v>2000</v>
      </c>
      <c r="AC116" s="219">
        <f t="shared" ref="AC116:AC118" si="258">AA116-Y116</f>
        <v>2000</v>
      </c>
      <c r="AD116" s="219"/>
      <c r="AE116" s="134">
        <v>35000</v>
      </c>
      <c r="AF116" s="213"/>
      <c r="AH116" s="18">
        <v>33163</v>
      </c>
      <c r="AI116" s="20">
        <f t="shared" ref="AI116:AI118" si="259">AH116/AE116</f>
        <v>0.94751428571428575</v>
      </c>
      <c r="AK116" s="134">
        <v>35000</v>
      </c>
      <c r="AS116" s="18">
        <f t="shared" ref="AS116" si="260">AR116+AK116</f>
        <v>35000</v>
      </c>
      <c r="AV116" s="18">
        <f t="shared" ref="AV116" si="261">AS116+AU116</f>
        <v>35000</v>
      </c>
      <c r="AX116" s="18"/>
      <c r="AY116" s="18">
        <f t="shared" ref="AY116" si="262">AV116+AX116</f>
        <v>35000</v>
      </c>
      <c r="BB116" s="18">
        <f t="shared" ref="BB116" si="263">AY116+BA116</f>
        <v>35000</v>
      </c>
      <c r="BD116" s="18">
        <v>20000</v>
      </c>
      <c r="BE116" s="18">
        <f t="shared" ref="BE116" si="264">BB116+BD116</f>
        <v>55000</v>
      </c>
      <c r="BG116" s="18"/>
      <c r="BH116" s="18">
        <f t="shared" ref="BH116" si="265">BE116+BG116</f>
        <v>55000</v>
      </c>
      <c r="BJ116" s="18">
        <v>43196</v>
      </c>
      <c r="BK116" s="279">
        <f t="shared" ref="BK116" si="266">BJ116/BH116</f>
        <v>0.78538181818181818</v>
      </c>
      <c r="BM116" s="292">
        <f>12*(6900)</f>
        <v>82800</v>
      </c>
      <c r="BN116" s="279">
        <f t="shared" ref="BN116" si="267">BM116/BJ116</f>
        <v>1.9168441522363182</v>
      </c>
      <c r="BO116" s="279">
        <f t="shared" ref="BO116" si="268">BM116/BH116</f>
        <v>1.5054545454545454</v>
      </c>
      <c r="BQ116" s="289"/>
      <c r="BR116" s="18">
        <f t="shared" ref="BR116" si="269">BM116+BQ116</f>
        <v>82800</v>
      </c>
      <c r="BT116" s="289"/>
      <c r="BU116" s="18">
        <f>BR116+BT116</f>
        <v>82800</v>
      </c>
      <c r="BW116" s="289"/>
      <c r="BX116" s="18">
        <f>BU116+BW116</f>
        <v>82800</v>
      </c>
      <c r="BZ116" s="289"/>
      <c r="CA116" s="18">
        <f>BX116+BZ116</f>
        <v>82800</v>
      </c>
      <c r="CC116" s="289"/>
      <c r="CD116" s="18">
        <f>CA116+CC116</f>
        <v>82800</v>
      </c>
      <c r="CF116" s="289"/>
      <c r="CG116" s="18">
        <f>CD116+CF116</f>
        <v>82800</v>
      </c>
      <c r="CI116" s="289"/>
      <c r="CJ116" s="18">
        <f>CG116+CI116</f>
        <v>82800</v>
      </c>
      <c r="CM116" s="18">
        <f>CJ116+CL116</f>
        <v>82800</v>
      </c>
      <c r="CO116" s="327">
        <v>6000</v>
      </c>
      <c r="CP116" s="18">
        <f>CM116+CO116</f>
        <v>88800</v>
      </c>
      <c r="CR116" s="327"/>
      <c r="CS116" s="18">
        <f>CP116+CR116</f>
        <v>88800</v>
      </c>
      <c r="CU116" s="349">
        <v>-2800</v>
      </c>
      <c r="CV116" s="18">
        <f>CS116+CU116</f>
        <v>86000</v>
      </c>
      <c r="CX116" s="349"/>
      <c r="CY116" s="18">
        <f>CV116+CX116</f>
        <v>86000</v>
      </c>
      <c r="DA116" s="327">
        <v>85553.25</v>
      </c>
      <c r="DC116" s="327">
        <v>80000</v>
      </c>
    </row>
    <row r="117" spans="1:107" outlineLevel="1">
      <c r="A117" s="14" t="s">
        <v>177</v>
      </c>
      <c r="B117" s="14" t="s">
        <v>117</v>
      </c>
      <c r="C117" s="4" t="s">
        <v>118</v>
      </c>
      <c r="D117" s="52">
        <v>10000</v>
      </c>
      <c r="E117" s="37">
        <v>6.61</v>
      </c>
      <c r="F117" s="52">
        <v>10000</v>
      </c>
      <c r="G117" s="37">
        <v>6.61</v>
      </c>
      <c r="H117" s="56">
        <v>660.66</v>
      </c>
      <c r="I117" s="40">
        <v>25000</v>
      </c>
      <c r="J117" s="17"/>
      <c r="L117" s="134">
        <v>10000</v>
      </c>
      <c r="M117" s="20">
        <f t="shared" si="239"/>
        <v>0</v>
      </c>
      <c r="N117" s="20">
        <f t="shared" si="240"/>
        <v>-0.6</v>
      </c>
      <c r="Q117" s="134">
        <v>10000</v>
      </c>
      <c r="R117" s="18">
        <v>0</v>
      </c>
      <c r="S117" s="134">
        <v>5000</v>
      </c>
      <c r="T117" s="18">
        <f>S117-Q117</f>
        <v>-5000</v>
      </c>
      <c r="U117" s="19">
        <f t="shared" si="241"/>
        <v>-0.5</v>
      </c>
      <c r="Y117" s="134">
        <v>5000</v>
      </c>
      <c r="AA117" s="134">
        <v>5000</v>
      </c>
      <c r="AB117" s="216">
        <f t="shared" si="250"/>
        <v>0</v>
      </c>
      <c r="AC117" s="219">
        <f t="shared" si="258"/>
        <v>0</v>
      </c>
      <c r="AD117" s="219"/>
      <c r="AE117" s="134">
        <v>5000</v>
      </c>
      <c r="AF117" s="213"/>
      <c r="AH117" s="18">
        <v>0</v>
      </c>
      <c r="AI117" s="20">
        <f t="shared" si="259"/>
        <v>0</v>
      </c>
      <c r="AX117" s="18"/>
      <c r="BD117" s="18"/>
      <c r="BG117" s="18"/>
      <c r="BQ117" s="349">
        <v>5000</v>
      </c>
      <c r="BR117" s="18">
        <f t="shared" ref="BR117:BR118" si="270">BM117+BQ117</f>
        <v>5000</v>
      </c>
      <c r="BT117" s="289"/>
      <c r="BU117" s="18">
        <f>BR117+BT117</f>
        <v>5000</v>
      </c>
      <c r="BW117" s="289"/>
      <c r="BX117" s="18">
        <f>BU117+BW117</f>
        <v>5000</v>
      </c>
      <c r="BZ117" s="289"/>
      <c r="CA117" s="18">
        <f>BX117+BZ117</f>
        <v>5000</v>
      </c>
      <c r="CC117" s="289"/>
      <c r="CD117" s="18">
        <f>CA117+CC117</f>
        <v>5000</v>
      </c>
      <c r="CF117" s="289"/>
      <c r="CG117" s="18">
        <f>CD117+CF117</f>
        <v>5000</v>
      </c>
      <c r="CI117" s="289"/>
      <c r="CJ117" s="18">
        <f>CG117+CI117</f>
        <v>5000</v>
      </c>
      <c r="CM117" s="18">
        <f>CJ117+CL117</f>
        <v>5000</v>
      </c>
      <c r="CO117" s="327"/>
      <c r="CP117" s="18">
        <f>CM117+CO117</f>
        <v>5000</v>
      </c>
      <c r="CR117" s="327"/>
      <c r="CS117" s="18">
        <f>CP117+CR117</f>
        <v>5000</v>
      </c>
      <c r="CU117" s="349">
        <v>-1000</v>
      </c>
      <c r="CV117" s="18">
        <f>CS117+CU117</f>
        <v>4000</v>
      </c>
      <c r="CX117" s="349"/>
      <c r="CY117" s="18">
        <f>CV117+CX117</f>
        <v>4000</v>
      </c>
      <c r="DA117" s="327">
        <v>3630</v>
      </c>
      <c r="DC117" s="327">
        <v>4000</v>
      </c>
    </row>
    <row r="118" spans="1:107" outlineLevel="1">
      <c r="A118" s="14" t="s">
        <v>177</v>
      </c>
      <c r="B118" s="14" t="s">
        <v>119</v>
      </c>
      <c r="C118" s="4" t="s">
        <v>120</v>
      </c>
      <c r="D118" s="52">
        <v>5000</v>
      </c>
      <c r="E118" s="37">
        <v>0</v>
      </c>
      <c r="F118" s="52">
        <v>5000</v>
      </c>
      <c r="G118" s="37">
        <v>0</v>
      </c>
      <c r="H118" s="56">
        <v>0</v>
      </c>
      <c r="I118" s="40">
        <v>20301</v>
      </c>
      <c r="J118" s="17"/>
      <c r="L118" s="134">
        <v>10000</v>
      </c>
      <c r="M118" s="20">
        <f t="shared" si="239"/>
        <v>1</v>
      </c>
      <c r="N118" s="20">
        <f t="shared" si="240"/>
        <v>-0.50741342790995514</v>
      </c>
      <c r="Q118" s="134">
        <v>10000</v>
      </c>
      <c r="R118" s="18">
        <v>0</v>
      </c>
      <c r="S118" s="134">
        <v>10000</v>
      </c>
      <c r="T118" s="18">
        <f>S118-Q118</f>
        <v>0</v>
      </c>
      <c r="U118" s="19">
        <f t="shared" si="241"/>
        <v>0</v>
      </c>
      <c r="Y118" s="134">
        <v>10000</v>
      </c>
      <c r="AA118" s="134">
        <v>10000</v>
      </c>
      <c r="AB118" s="216">
        <f t="shared" si="250"/>
        <v>0</v>
      </c>
      <c r="AC118" s="219">
        <f t="shared" si="258"/>
        <v>0</v>
      </c>
      <c r="AD118" s="219"/>
      <c r="AE118" s="134">
        <v>31300</v>
      </c>
      <c r="AF118" s="213">
        <f t="shared" si="162"/>
        <v>21300</v>
      </c>
      <c r="AH118" s="18">
        <v>31258.43</v>
      </c>
      <c r="AI118" s="20">
        <f t="shared" si="259"/>
        <v>0.99867188498402559</v>
      </c>
      <c r="AK118" s="134">
        <v>40000</v>
      </c>
      <c r="AS118" s="18">
        <f t="shared" ref="AS118" si="271">AR118+AK118</f>
        <v>40000</v>
      </c>
      <c r="AV118" s="18">
        <f t="shared" ref="AV118" si="272">AS118+AU118</f>
        <v>40000</v>
      </c>
      <c r="AX118" s="18">
        <v>49297.26</v>
      </c>
      <c r="AY118" s="18">
        <f t="shared" ref="AY118" si="273">AV118+AX118</f>
        <v>89297.260000000009</v>
      </c>
      <c r="BB118" s="18">
        <f t="shared" ref="BB118" si="274">AY118+BA118</f>
        <v>89297.260000000009</v>
      </c>
      <c r="BD118" s="18">
        <v>5703</v>
      </c>
      <c r="BE118" s="18">
        <f t="shared" ref="BE118" si="275">BB118+BD118</f>
        <v>95000.260000000009</v>
      </c>
      <c r="BG118" s="18"/>
      <c r="BH118" s="18">
        <f t="shared" ref="BH118" si="276">BE118+BG118</f>
        <v>95000.260000000009</v>
      </c>
      <c r="BJ118" s="18">
        <v>55732.3</v>
      </c>
      <c r="BK118" s="279">
        <f t="shared" ref="BK118" si="277">BJ118/BH118</f>
        <v>0.58665418389381252</v>
      </c>
      <c r="BM118" s="289">
        <v>30000</v>
      </c>
      <c r="BN118" s="279">
        <f t="shared" ref="BN118" si="278">BM118/BJ118</f>
        <v>0.53828749217240268</v>
      </c>
      <c r="BO118" s="279">
        <f t="shared" ref="BO118" si="279">BM118/BH118</f>
        <v>0.31578860942064785</v>
      </c>
      <c r="BQ118"/>
      <c r="BR118" s="18">
        <f t="shared" si="270"/>
        <v>30000</v>
      </c>
      <c r="BT118"/>
      <c r="BU118" s="18">
        <f>BR118+BT118</f>
        <v>30000</v>
      </c>
      <c r="BW118"/>
      <c r="BX118" s="18">
        <f>BU118+BW118</f>
        <v>30000</v>
      </c>
      <c r="BZ118"/>
      <c r="CA118" s="18">
        <f>BX118+BZ118</f>
        <v>30000</v>
      </c>
      <c r="CC118"/>
      <c r="CD118" s="18">
        <f>CA118+CC118</f>
        <v>30000</v>
      </c>
      <c r="CF118"/>
      <c r="CG118" s="18">
        <f>CD118+CF118</f>
        <v>30000</v>
      </c>
      <c r="CI118" s="349">
        <v>-18000</v>
      </c>
      <c r="CJ118" s="18">
        <f>CG118+CI118</f>
        <v>12000</v>
      </c>
      <c r="CM118" s="18">
        <f>CJ118+CL118</f>
        <v>12000</v>
      </c>
      <c r="CO118" s="327"/>
      <c r="CP118" s="18">
        <f>CM118+CO118</f>
        <v>12000</v>
      </c>
      <c r="CR118" s="327"/>
      <c r="CS118" s="18">
        <f>CP118+CR118</f>
        <v>12000</v>
      </c>
      <c r="CU118" s="349">
        <v>-1500</v>
      </c>
      <c r="CV118" s="18">
        <f>CS118+CU118</f>
        <v>10500</v>
      </c>
      <c r="CX118" s="349"/>
      <c r="CY118" s="18">
        <f>CV118+CX118</f>
        <v>10500</v>
      </c>
      <c r="DA118" s="327">
        <v>10164</v>
      </c>
      <c r="DC118" s="327">
        <v>10000</v>
      </c>
    </row>
    <row r="119" spans="1:107" outlineLevel="1">
      <c r="A119" s="14" t="s">
        <v>177</v>
      </c>
      <c r="B119" s="4" t="s">
        <v>46</v>
      </c>
      <c r="C119" s="4" t="s">
        <v>178</v>
      </c>
      <c r="D119" s="52">
        <v>63500</v>
      </c>
      <c r="E119" s="37">
        <v>72.95</v>
      </c>
      <c r="F119" s="52">
        <v>73500</v>
      </c>
      <c r="G119" s="37">
        <v>63.02</v>
      </c>
      <c r="H119" s="56">
        <v>46320.21</v>
      </c>
      <c r="I119" s="40"/>
      <c r="J119" s="17"/>
      <c r="Y119" s="134"/>
      <c r="AF119" s="213"/>
      <c r="AH119" s="18"/>
      <c r="AX119" s="18"/>
      <c r="BD119" s="18"/>
      <c r="BG119" s="18"/>
    </row>
    <row r="120" spans="1:107" ht="15.75" thickBot="1">
      <c r="A120" s="70" t="s">
        <v>177</v>
      </c>
      <c r="B120" s="71" t="s">
        <v>320</v>
      </c>
      <c r="C120" s="338" t="s">
        <v>178</v>
      </c>
      <c r="D120" s="73">
        <f>SUM(D114:D118)</f>
        <v>63500</v>
      </c>
      <c r="E120" s="74"/>
      <c r="F120" s="73">
        <f>SUM(F114:F118)</f>
        <v>73500</v>
      </c>
      <c r="G120" s="74"/>
      <c r="H120" s="73"/>
      <c r="I120" s="73">
        <f>SUM(I114:I118)</f>
        <v>95871</v>
      </c>
      <c r="J120" s="156" t="e">
        <f>I120/$I$304</f>
        <v>#REF!</v>
      </c>
      <c r="K120" s="76"/>
      <c r="L120" s="138">
        <f>SUM(L114:L118)</f>
        <v>66000</v>
      </c>
      <c r="M120" s="77">
        <f>L120/F120-1</f>
        <v>-0.10204081632653061</v>
      </c>
      <c r="N120" s="77">
        <f>L120/I120-1</f>
        <v>-0.31157492881058924</v>
      </c>
      <c r="O120" s="20">
        <f>L120/$L$304</f>
        <v>1.5313225342240841E-2</v>
      </c>
      <c r="P120" s="20"/>
      <c r="Q120" s="138">
        <f>SUM(Q114:Q118)</f>
        <v>66000</v>
      </c>
      <c r="R120" s="138">
        <f>SUM(R114:R118)</f>
        <v>14220</v>
      </c>
      <c r="S120" s="138">
        <f>SUM(S114:S118)</f>
        <v>56000</v>
      </c>
      <c r="T120" s="138">
        <f>SUM(T114:T118)</f>
        <v>-10000</v>
      </c>
      <c r="U120" s="175">
        <f>S120/Q120-1</f>
        <v>-0.15151515151515149</v>
      </c>
      <c r="Y120" s="138">
        <f>SUM(Y114:Y118)</f>
        <v>59000</v>
      </c>
      <c r="AA120" s="138">
        <f>SUM(AA114:AA118)</f>
        <v>86000</v>
      </c>
      <c r="AB120" s="138">
        <f>SUM(AB114:AB118)</f>
        <v>27000</v>
      </c>
      <c r="AE120" s="138">
        <f>SUM(AE114:AE118)</f>
        <v>107300</v>
      </c>
      <c r="AF120" s="213"/>
      <c r="AH120" s="138">
        <f>SUM(AH114:AH118)</f>
        <v>92173.989999999991</v>
      </c>
      <c r="AI120" s="20">
        <f t="shared" ref="AI120:AI121" si="280">AH120/AE120</f>
        <v>0.85903066169617881</v>
      </c>
      <c r="AK120" s="138">
        <f>SUM(AK114:AK118)</f>
        <v>75000</v>
      </c>
      <c r="AL120" s="229">
        <f t="shared" ref="AL120:AL121" si="281">AK120/L120</f>
        <v>1.1363636363636365</v>
      </c>
      <c r="AM120" s="20">
        <f t="shared" ref="AM120:AM121" si="282">AK120/AE120</f>
        <v>0.69897483690587137</v>
      </c>
      <c r="AN120" s="20">
        <f t="shared" ref="AN120:AN121" si="283">AK120/AH120</f>
        <v>0.81367856593817856</v>
      </c>
      <c r="AS120" s="138">
        <f>SUM(AS114:AS118)</f>
        <v>75000</v>
      </c>
      <c r="AU120" s="138">
        <f>SUM(AU114:AU118)</f>
        <v>0</v>
      </c>
      <c r="AV120" s="138">
        <f>SUM(AV114:AV118)</f>
        <v>75000</v>
      </c>
      <c r="AX120" s="138">
        <f>SUM(AX114:AX118)</f>
        <v>49297.26</v>
      </c>
      <c r="AY120" s="138">
        <f>SUM(AY114:AY118)</f>
        <v>124297.26000000001</v>
      </c>
      <c r="BA120" s="138">
        <f>SUM(BA114:BA118)</f>
        <v>0</v>
      </c>
      <c r="BB120" s="138">
        <f>SUM(BB114:BB118)</f>
        <v>124297.26000000001</v>
      </c>
      <c r="BD120" s="138">
        <f>SUM(BD114:BD118)</f>
        <v>25703</v>
      </c>
      <c r="BE120" s="138">
        <f>SUM(BE114:BE118)</f>
        <v>150000.26</v>
      </c>
      <c r="BG120" s="138">
        <f>SUM(BG114:BG118)</f>
        <v>0</v>
      </c>
      <c r="BH120" s="138">
        <f>SUM(BH114:BH118)</f>
        <v>150000.26</v>
      </c>
      <c r="BJ120" s="138">
        <f>SUM(BJ114:BJ118)</f>
        <v>98928.3</v>
      </c>
      <c r="BK120" s="280">
        <f t="shared" ref="BK120:BK121" si="284">BJ120/BH120</f>
        <v>0.65952085683051476</v>
      </c>
      <c r="BM120" s="138">
        <f>SUM(BM114:BM118)</f>
        <v>112800</v>
      </c>
      <c r="BN120" s="280">
        <f t="shared" ref="BN120:BN121" si="285">BM120/BJ120</f>
        <v>1.1402197348989116</v>
      </c>
      <c r="BO120" s="280">
        <f t="shared" ref="BO120:BO121" si="286">BM120/BH120</f>
        <v>0.75199869653559259</v>
      </c>
      <c r="BQ120" s="138">
        <f>SUM(BQ114:BQ118)</f>
        <v>5000</v>
      </c>
      <c r="BR120" s="138">
        <f>SUM(BR114:BR118)</f>
        <v>117800</v>
      </c>
      <c r="BT120" s="138">
        <f>SUM(BT114:BT118)</f>
        <v>0</v>
      </c>
      <c r="BU120" s="138">
        <f>SUM(BU114:BU118)</f>
        <v>117800</v>
      </c>
      <c r="BW120" s="138">
        <f>SUM(BW114:BW118)</f>
        <v>0</v>
      </c>
      <c r="BX120" s="138">
        <f>SUM(BX114:BX118)</f>
        <v>117800</v>
      </c>
      <c r="BZ120" s="138">
        <f>SUM(BZ114:BZ118)</f>
        <v>0</v>
      </c>
      <c r="CA120" s="138">
        <f>SUM(CA114:CA118)</f>
        <v>117800</v>
      </c>
      <c r="CC120" s="138">
        <f>SUM(CC114:CC118)</f>
        <v>0</v>
      </c>
      <c r="CD120" s="138">
        <f>SUM(CD114:CD118)</f>
        <v>117800</v>
      </c>
      <c r="CF120" s="138">
        <f>SUM(CF114:CF118)</f>
        <v>0</v>
      </c>
      <c r="CG120" s="138">
        <f>SUM(CG114:CG118)</f>
        <v>117800</v>
      </c>
      <c r="CI120" s="138">
        <f>SUM(CI114:CI118)</f>
        <v>-18000</v>
      </c>
      <c r="CJ120" s="138">
        <f>SUM(CJ114:CJ118)</f>
        <v>99800</v>
      </c>
      <c r="CL120" s="391">
        <f>SUM(CL114:CL118)</f>
        <v>0</v>
      </c>
      <c r="CM120" s="138">
        <f>SUM(CM114:CM118)</f>
        <v>99800</v>
      </c>
      <c r="CO120" s="138">
        <f>SUM(CO114:CO118)</f>
        <v>6000</v>
      </c>
      <c r="CP120" s="138">
        <f>SUM(CP114:CP118)</f>
        <v>105800</v>
      </c>
      <c r="CR120" s="138">
        <f>SUM(CR114:CR118)</f>
        <v>0</v>
      </c>
      <c r="CS120" s="138">
        <f>SUM(CS114:CS118)</f>
        <v>105800</v>
      </c>
      <c r="CU120" s="138">
        <f>SUM(CU114:CU118)</f>
        <v>-5300</v>
      </c>
      <c r="CV120" s="138">
        <f>SUM(CV114:CV118)</f>
        <v>100500</v>
      </c>
      <c r="CX120" s="138">
        <f>SUM(CX114:CX118)</f>
        <v>0</v>
      </c>
      <c r="CY120" s="138">
        <f>SUM(CY114:CY118)</f>
        <v>100500</v>
      </c>
      <c r="DA120" s="138">
        <f>SUM(DA114:DA118)</f>
        <v>99347.25</v>
      </c>
      <c r="DC120" s="138">
        <f>SUM(DC114:DC118)</f>
        <v>94000</v>
      </c>
    </row>
    <row r="121" spans="1:107" ht="16.5" thickTop="1" thickBot="1">
      <c r="A121" s="80" t="s">
        <v>177</v>
      </c>
      <c r="B121" s="81" t="s">
        <v>362</v>
      </c>
      <c r="C121" s="339" t="s">
        <v>343</v>
      </c>
      <c r="D121" s="82">
        <f>D118</f>
        <v>5000</v>
      </c>
      <c r="E121" s="83"/>
      <c r="F121" s="82">
        <f>F118</f>
        <v>5000</v>
      </c>
      <c r="G121" s="83"/>
      <c r="H121" s="82"/>
      <c r="I121" s="82">
        <f>I118</f>
        <v>20301</v>
      </c>
      <c r="J121" s="84"/>
      <c r="K121" s="85"/>
      <c r="L121" s="139">
        <f>L118</f>
        <v>10000</v>
      </c>
      <c r="M121" s="86">
        <f>L121/F121-1</f>
        <v>1</v>
      </c>
      <c r="N121" s="86">
        <f>L121/I121-1</f>
        <v>-0.50741342790995514</v>
      </c>
      <c r="Q121" s="139">
        <f>Q118</f>
        <v>10000</v>
      </c>
      <c r="R121" s="139">
        <f>R118</f>
        <v>0</v>
      </c>
      <c r="S121" s="139">
        <f>S118</f>
        <v>10000</v>
      </c>
      <c r="T121" s="139">
        <f>T118</f>
        <v>0</v>
      </c>
      <c r="U121" s="175">
        <f>S121/Q121-1</f>
        <v>0</v>
      </c>
      <c r="Y121" s="139">
        <f>Y118</f>
        <v>10000</v>
      </c>
      <c r="AA121" s="139">
        <f>AA118</f>
        <v>10000</v>
      </c>
      <c r="AB121" s="139">
        <f>AB118</f>
        <v>0</v>
      </c>
      <c r="AE121" s="139">
        <f>AE118</f>
        <v>31300</v>
      </c>
      <c r="AF121" s="213"/>
      <c r="AH121" s="139">
        <f>AH118</f>
        <v>31258.43</v>
      </c>
      <c r="AI121" s="20">
        <f t="shared" si="280"/>
        <v>0.99867188498402559</v>
      </c>
      <c r="AK121" s="139">
        <f>AK118</f>
        <v>40000</v>
      </c>
      <c r="AL121" s="229">
        <f t="shared" si="281"/>
        <v>4</v>
      </c>
      <c r="AM121" s="20">
        <f t="shared" si="282"/>
        <v>1.2779552715654952</v>
      </c>
      <c r="AN121" s="20">
        <f t="shared" si="283"/>
        <v>1.2796548003210653</v>
      </c>
      <c r="AS121" s="139">
        <f>AS118</f>
        <v>40000</v>
      </c>
      <c r="AU121" s="139">
        <f>AU118</f>
        <v>0</v>
      </c>
      <c r="AV121" s="139">
        <f>AV118</f>
        <v>40000</v>
      </c>
      <c r="AX121" s="139">
        <f>AX118</f>
        <v>49297.26</v>
      </c>
      <c r="AY121" s="139">
        <f>AY118</f>
        <v>89297.260000000009</v>
      </c>
      <c r="BA121" s="139">
        <f>BA118</f>
        <v>0</v>
      </c>
      <c r="BB121" s="139">
        <f>BB118</f>
        <v>89297.260000000009</v>
      </c>
      <c r="BD121" s="139">
        <f>BD118</f>
        <v>5703</v>
      </c>
      <c r="BE121" s="139">
        <f>BE118</f>
        <v>95000.260000000009</v>
      </c>
      <c r="BG121" s="139">
        <f>BG118</f>
        <v>0</v>
      </c>
      <c r="BH121" s="139">
        <f>BH118</f>
        <v>95000.260000000009</v>
      </c>
      <c r="BJ121" s="139">
        <f>BJ118</f>
        <v>55732.3</v>
      </c>
      <c r="BK121" s="280">
        <f t="shared" si="284"/>
        <v>0.58665418389381252</v>
      </c>
      <c r="BM121" s="139">
        <f>BM118</f>
        <v>30000</v>
      </c>
      <c r="BN121" s="280">
        <f t="shared" si="285"/>
        <v>0.53828749217240268</v>
      </c>
      <c r="BO121" s="280">
        <f t="shared" si="286"/>
        <v>0.31578860942064785</v>
      </c>
      <c r="BQ121" s="139">
        <f>BQ118</f>
        <v>0</v>
      </c>
      <c r="BR121" s="139">
        <f>BR118</f>
        <v>30000</v>
      </c>
      <c r="BT121" s="139">
        <f>BT118</f>
        <v>0</v>
      </c>
      <c r="BU121" s="139">
        <f>BU118</f>
        <v>30000</v>
      </c>
      <c r="BW121" s="139">
        <f>BW118</f>
        <v>0</v>
      </c>
      <c r="BX121" s="139">
        <f>BX118</f>
        <v>30000</v>
      </c>
      <c r="BZ121" s="139">
        <f>BZ118</f>
        <v>0</v>
      </c>
      <c r="CA121" s="139">
        <f>CA118</f>
        <v>30000</v>
      </c>
      <c r="CC121" s="139">
        <f>CC118</f>
        <v>0</v>
      </c>
      <c r="CD121" s="139">
        <f>CD118</f>
        <v>30000</v>
      </c>
      <c r="CF121" s="139">
        <f>CF118</f>
        <v>0</v>
      </c>
      <c r="CG121" s="139">
        <f>CG118</f>
        <v>30000</v>
      </c>
      <c r="CI121" s="139">
        <f>CI118</f>
        <v>-18000</v>
      </c>
      <c r="CJ121" s="139">
        <f>CJ118</f>
        <v>12000</v>
      </c>
      <c r="CL121" s="391">
        <f>CL118</f>
        <v>0</v>
      </c>
      <c r="CM121" s="139">
        <f>CM118</f>
        <v>12000</v>
      </c>
      <c r="CO121" s="139">
        <f>CO118</f>
        <v>0</v>
      </c>
      <c r="CP121" s="139">
        <f>CP118</f>
        <v>12000</v>
      </c>
      <c r="CR121" s="139">
        <f>CR118</f>
        <v>0</v>
      </c>
      <c r="CS121" s="139">
        <f>CS118</f>
        <v>12000</v>
      </c>
      <c r="CU121" s="139">
        <f>CU118</f>
        <v>-1500</v>
      </c>
      <c r="CV121" s="139">
        <f>CV118</f>
        <v>10500</v>
      </c>
      <c r="CX121" s="139">
        <f>CX118</f>
        <v>0</v>
      </c>
      <c r="CY121" s="139">
        <f>CY118</f>
        <v>10500</v>
      </c>
      <c r="DA121" s="139">
        <f>DA118</f>
        <v>10164</v>
      </c>
      <c r="DC121" s="139">
        <f>DC118</f>
        <v>10000</v>
      </c>
    </row>
    <row r="122" spans="1:107" s="273" customFormat="1" ht="15.75" thickTop="1">
      <c r="A122" s="325">
        <v>3636</v>
      </c>
      <c r="B122">
        <v>6121</v>
      </c>
      <c r="C122" s="4" t="s">
        <v>211</v>
      </c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 s="213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 s="18">
        <v>2500</v>
      </c>
      <c r="BH122" s="18">
        <f t="shared" ref="BH122" si="287">BE122+BG122</f>
        <v>2500</v>
      </c>
      <c r="BI122"/>
      <c r="BJ122" s="18">
        <v>2420</v>
      </c>
      <c r="BK122" s="279">
        <f t="shared" ref="BK122:BK125" si="288">BJ122/BH122</f>
        <v>0.96799999999999997</v>
      </c>
      <c r="BL122" s="282"/>
      <c r="BM122" s="289">
        <v>2500</v>
      </c>
      <c r="BN122" s="279">
        <f t="shared" ref="BN122:BN128" si="289">BM122/BJ122</f>
        <v>1.0330578512396693</v>
      </c>
      <c r="BO122" s="279">
        <f t="shared" ref="BO122:BO128" si="290">BM122/BH122</f>
        <v>1</v>
      </c>
      <c r="BQ122" s="289"/>
      <c r="BR122" s="18">
        <f t="shared" ref="BR122:BR123" si="291">BM122+BQ122</f>
        <v>2500</v>
      </c>
      <c r="BT122" s="289"/>
      <c r="BU122" s="18">
        <f>BR122+BT122</f>
        <v>2500</v>
      </c>
      <c r="BW122" s="289"/>
      <c r="BX122" s="18">
        <f>BU122+BW122</f>
        <v>2500</v>
      </c>
      <c r="BZ122" s="289"/>
      <c r="CA122" s="18">
        <f>BX122+BZ122</f>
        <v>2500</v>
      </c>
      <c r="CC122" s="289"/>
      <c r="CD122" s="18">
        <f>CA122+CC122</f>
        <v>2500</v>
      </c>
      <c r="CF122" s="289"/>
      <c r="CG122" s="18">
        <f>CD122+CF122</f>
        <v>2500</v>
      </c>
      <c r="CH122" s="206"/>
      <c r="CI122" s="289"/>
      <c r="CJ122" s="18">
        <f>CG122+CI122</f>
        <v>2500</v>
      </c>
      <c r="CL122" s="327"/>
      <c r="CM122" s="18">
        <f>CJ122+CL122</f>
        <v>2500</v>
      </c>
      <c r="CO122" s="289"/>
      <c r="CP122" s="18">
        <f>CM122+CO122</f>
        <v>2500</v>
      </c>
      <c r="CR122" s="289"/>
      <c r="CS122" s="18">
        <f>CP122+CR122</f>
        <v>2500</v>
      </c>
      <c r="CU122" s="349">
        <v>-2500</v>
      </c>
      <c r="CV122" s="18">
        <f>CS122+CU122</f>
        <v>0</v>
      </c>
      <c r="CX122" s="349"/>
      <c r="CY122" s="18">
        <f>CV122+CX122</f>
        <v>0</v>
      </c>
      <c r="DA122" s="289">
        <v>0</v>
      </c>
      <c r="DC122" s="289"/>
    </row>
    <row r="123" spans="1:107" s="273" customFormat="1">
      <c r="A123" s="325">
        <v>3636</v>
      </c>
      <c r="B123" s="324" t="s">
        <v>117</v>
      </c>
      <c r="C123" s="4" t="s">
        <v>118</v>
      </c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 s="21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 s="18"/>
      <c r="BH123" s="18"/>
      <c r="BI123"/>
      <c r="BJ123" s="18"/>
      <c r="BK123" s="279"/>
      <c r="BL123" s="282"/>
      <c r="BM123" s="289">
        <v>311000</v>
      </c>
      <c r="BN123" s="279"/>
      <c r="BO123" s="279"/>
      <c r="BQ123" s="289"/>
      <c r="BR123" s="18">
        <f t="shared" si="291"/>
        <v>311000</v>
      </c>
      <c r="BT123" s="289"/>
      <c r="BU123" s="18">
        <f>BR123+BT123</f>
        <v>311000</v>
      </c>
      <c r="BW123" s="289"/>
      <c r="BX123" s="18">
        <f>BU123+BW123</f>
        <v>311000</v>
      </c>
      <c r="BZ123" s="289"/>
      <c r="CA123" s="18">
        <f>BX123+BZ123</f>
        <v>311000</v>
      </c>
      <c r="CC123" s="289"/>
      <c r="CD123" s="18">
        <f>CA123+CC123</f>
        <v>311000</v>
      </c>
      <c r="CF123" s="289"/>
      <c r="CG123" s="18">
        <f>CD123+CF123</f>
        <v>311000</v>
      </c>
      <c r="CH123" s="206"/>
      <c r="CI123" s="289"/>
      <c r="CJ123" s="18">
        <f>CG123+CI123</f>
        <v>311000</v>
      </c>
      <c r="CL123" s="327"/>
      <c r="CM123" s="18">
        <f>CJ123+CL123</f>
        <v>311000</v>
      </c>
      <c r="CO123" s="289"/>
      <c r="CP123" s="18">
        <f>CM123+CO123</f>
        <v>311000</v>
      </c>
      <c r="CR123" s="289"/>
      <c r="CS123" s="18">
        <f>CP123+CR123</f>
        <v>311000</v>
      </c>
      <c r="CU123" s="289"/>
      <c r="CV123" s="18">
        <f>CS123+CU123</f>
        <v>311000</v>
      </c>
      <c r="CX123" s="289"/>
      <c r="CY123" s="18">
        <f>CV123+CX123</f>
        <v>311000</v>
      </c>
      <c r="DA123" s="289">
        <v>205700</v>
      </c>
      <c r="DC123" s="289">
        <v>106000</v>
      </c>
    </row>
    <row r="124" spans="1:107" s="273" customFormat="1" ht="15.75" thickBot="1">
      <c r="A124" s="70" t="s">
        <v>502</v>
      </c>
      <c r="B124" s="71" t="s">
        <v>320</v>
      </c>
      <c r="C124" s="341" t="s">
        <v>514</v>
      </c>
      <c r="D124" s="328"/>
      <c r="E124" s="328"/>
      <c r="F124" s="328"/>
      <c r="G124" s="328"/>
      <c r="H124" s="328"/>
      <c r="I124" s="328"/>
      <c r="J124" s="328"/>
      <c r="K124" s="328"/>
      <c r="L124" s="328"/>
      <c r="M124" s="328"/>
      <c r="N124" s="328"/>
      <c r="O124" s="328"/>
      <c r="P124" s="328"/>
      <c r="Q124" s="328"/>
      <c r="R124" s="328"/>
      <c r="S124" s="328"/>
      <c r="T124" s="328"/>
      <c r="U124" s="328"/>
      <c r="V124" s="328"/>
      <c r="W124" s="328"/>
      <c r="X124" s="328"/>
      <c r="Y124" s="328"/>
      <c r="Z124" s="328"/>
      <c r="AA124" s="328"/>
      <c r="AB124" s="328"/>
      <c r="AC124" s="328"/>
      <c r="AD124" s="328"/>
      <c r="AE124" s="328"/>
      <c r="AF124" s="334"/>
      <c r="AG124" s="328"/>
      <c r="AH124" s="328"/>
      <c r="AI124" s="328"/>
      <c r="AJ124" s="328"/>
      <c r="AK124" s="328"/>
      <c r="AL124" s="328"/>
      <c r="AM124" s="328"/>
      <c r="AN124" s="328"/>
      <c r="AO124" s="328"/>
      <c r="AP124" s="328"/>
      <c r="AQ124" s="328"/>
      <c r="AR124" s="328"/>
      <c r="AS124" s="328"/>
      <c r="AT124" s="328"/>
      <c r="AU124" s="328"/>
      <c r="AV124" s="328"/>
      <c r="AW124" s="328"/>
      <c r="AX124" s="328"/>
      <c r="AY124" s="328"/>
      <c r="AZ124" s="328"/>
      <c r="BA124" s="328"/>
      <c r="BB124" s="328"/>
      <c r="BC124" s="328"/>
      <c r="BD124" s="328"/>
      <c r="BE124" s="328"/>
      <c r="BF124" s="328"/>
      <c r="BG124" s="335"/>
      <c r="BH124" s="335"/>
      <c r="BI124" s="328"/>
      <c r="BJ124" s="335"/>
      <c r="BK124" s="280"/>
      <c r="BL124" s="336"/>
      <c r="BM124" s="138">
        <f>SUM(BM123)</f>
        <v>311000</v>
      </c>
      <c r="BN124" s="280"/>
      <c r="BO124" s="280"/>
      <c r="BQ124" s="138">
        <f>SUM(BQ123)</f>
        <v>0</v>
      </c>
      <c r="BR124" s="138">
        <f>SUM(BR123)</f>
        <v>311000</v>
      </c>
      <c r="BT124" s="138">
        <f>SUM(BT123)</f>
        <v>0</v>
      </c>
      <c r="BU124" s="138">
        <f>SUM(BU123)</f>
        <v>311000</v>
      </c>
      <c r="BW124" s="138">
        <f>SUM(BW123)</f>
        <v>0</v>
      </c>
      <c r="BX124" s="138">
        <f>SUM(BX123)</f>
        <v>311000</v>
      </c>
      <c r="BZ124" s="138">
        <f>SUM(BZ123)</f>
        <v>0</v>
      </c>
      <c r="CA124" s="138">
        <f>SUM(CA123)</f>
        <v>311000</v>
      </c>
      <c r="CC124" s="138">
        <f>SUM(CC123)</f>
        <v>0</v>
      </c>
      <c r="CD124" s="138">
        <f>SUM(CD123)</f>
        <v>311000</v>
      </c>
      <c r="CF124" s="138">
        <f>SUM(CF123)</f>
        <v>0</v>
      </c>
      <c r="CG124" s="138">
        <f>SUM(CG123)</f>
        <v>311000</v>
      </c>
      <c r="CH124" s="206"/>
      <c r="CI124" s="138">
        <f>SUM(CI123)</f>
        <v>0</v>
      </c>
      <c r="CJ124" s="138">
        <f>SUM(CJ123)</f>
        <v>311000</v>
      </c>
      <c r="CL124" s="391">
        <f>SUM(CL123)</f>
        <v>0</v>
      </c>
      <c r="CM124" s="138">
        <f>SUM(CM123)</f>
        <v>311000</v>
      </c>
      <c r="CO124" s="138">
        <f>SUM(CO123)</f>
        <v>0</v>
      </c>
      <c r="CP124" s="138">
        <f>SUM(CP123)</f>
        <v>311000</v>
      </c>
      <c r="CR124" s="138">
        <f>SUM(CR123)</f>
        <v>0</v>
      </c>
      <c r="CS124" s="138">
        <f>SUM(CS123)</f>
        <v>311000</v>
      </c>
      <c r="CU124" s="138">
        <f>SUM(CU123)</f>
        <v>0</v>
      </c>
      <c r="CV124" s="138">
        <f>SUM(CV123)</f>
        <v>311000</v>
      </c>
      <c r="CX124" s="138">
        <f>SUM(CX123)</f>
        <v>0</v>
      </c>
      <c r="CY124" s="138">
        <f>SUM(CY123)</f>
        <v>311000</v>
      </c>
      <c r="DA124" s="138">
        <f>SUM(DA123)</f>
        <v>205700</v>
      </c>
      <c r="DC124" s="138">
        <f>SUM(DC123)</f>
        <v>106000</v>
      </c>
    </row>
    <row r="125" spans="1:107" s="273" customFormat="1" ht="16.5" thickTop="1" thickBot="1">
      <c r="A125" s="329" t="s">
        <v>502</v>
      </c>
      <c r="B125" s="330" t="s">
        <v>281</v>
      </c>
      <c r="C125" s="342" t="s">
        <v>514</v>
      </c>
      <c r="D125"/>
      <c r="E125"/>
      <c r="F125"/>
      <c r="G125"/>
      <c r="H125"/>
      <c r="I125"/>
      <c r="J125"/>
      <c r="K125"/>
      <c r="L125" s="331">
        <f>L122</f>
        <v>0</v>
      </c>
      <c r="M125" s="332" t="e">
        <f t="shared" ref="M125" si="292">L125/F125-1</f>
        <v>#DIV/0!</v>
      </c>
      <c r="N125" s="332" t="e">
        <f t="shared" ref="N125" si="293">L125/I125-1</f>
        <v>#DIV/0!</v>
      </c>
      <c r="O125"/>
      <c r="P125"/>
      <c r="Q125" s="331">
        <f t="shared" ref="Q125:T125" si="294">Q119</f>
        <v>0</v>
      </c>
      <c r="R125" s="331">
        <f t="shared" si="294"/>
        <v>0</v>
      </c>
      <c r="S125" s="331">
        <f t="shared" si="294"/>
        <v>0</v>
      </c>
      <c r="T125" s="331">
        <f t="shared" si="294"/>
        <v>0</v>
      </c>
      <c r="U125" s="176" t="e">
        <f t="shared" ref="U125" si="295">S125/Q125-1</f>
        <v>#DIV/0!</v>
      </c>
      <c r="V125" s="159"/>
      <c r="W125"/>
      <c r="X125"/>
      <c r="Y125" s="331">
        <f>Y119</f>
        <v>0</v>
      </c>
      <c r="Z125"/>
      <c r="AA125" s="331">
        <f>AA119</f>
        <v>0</v>
      </c>
      <c r="AB125" s="331">
        <f>AB119</f>
        <v>0</v>
      </c>
      <c r="AC125" s="220"/>
      <c r="AD125" s="220"/>
      <c r="AE125" s="331">
        <f t="shared" ref="AE125:BH125" si="296">AE122</f>
        <v>0</v>
      </c>
      <c r="AF125" s="213"/>
      <c r="AG125" s="331">
        <f t="shared" si="296"/>
        <v>0</v>
      </c>
      <c r="AH125" s="331">
        <f t="shared" si="296"/>
        <v>0</v>
      </c>
      <c r="AI125"/>
      <c r="AJ125"/>
      <c r="AK125" s="331">
        <f t="shared" si="296"/>
        <v>0</v>
      </c>
      <c r="AL125" s="331">
        <f t="shared" si="296"/>
        <v>0</v>
      </c>
      <c r="AM125" s="331">
        <f t="shared" si="296"/>
        <v>0</v>
      </c>
      <c r="AN125" s="331">
        <f t="shared" si="296"/>
        <v>0</v>
      </c>
      <c r="AO125" s="331">
        <f t="shared" si="296"/>
        <v>0</v>
      </c>
      <c r="AP125" s="331">
        <f t="shared" si="296"/>
        <v>0</v>
      </c>
      <c r="AQ125" s="331">
        <f t="shared" si="296"/>
        <v>0</v>
      </c>
      <c r="AR125" s="331">
        <f t="shared" si="296"/>
        <v>0</v>
      </c>
      <c r="AS125" s="331">
        <f t="shared" si="296"/>
        <v>0</v>
      </c>
      <c r="AT125" s="331">
        <f t="shared" si="296"/>
        <v>0</v>
      </c>
      <c r="AU125" s="331">
        <f t="shared" si="296"/>
        <v>0</v>
      </c>
      <c r="AV125" s="331">
        <f t="shared" si="296"/>
        <v>0</v>
      </c>
      <c r="AW125" s="331">
        <f t="shared" si="296"/>
        <v>0</v>
      </c>
      <c r="AX125" s="331">
        <f t="shared" si="296"/>
        <v>0</v>
      </c>
      <c r="AY125" s="331">
        <f t="shared" si="296"/>
        <v>0</v>
      </c>
      <c r="AZ125"/>
      <c r="BA125" s="331">
        <f t="shared" si="296"/>
        <v>0</v>
      </c>
      <c r="BB125" s="331">
        <f t="shared" si="296"/>
        <v>0</v>
      </c>
      <c r="BC125"/>
      <c r="BD125" s="331">
        <f t="shared" si="296"/>
        <v>0</v>
      </c>
      <c r="BE125" s="331">
        <f t="shared" si="296"/>
        <v>0</v>
      </c>
      <c r="BF125"/>
      <c r="BG125" s="331">
        <f t="shared" si="296"/>
        <v>2500</v>
      </c>
      <c r="BH125" s="331">
        <f t="shared" si="296"/>
        <v>2500</v>
      </c>
      <c r="BI125"/>
      <c r="BJ125" s="331">
        <f t="shared" ref="BJ125" si="297">BJ122</f>
        <v>2420</v>
      </c>
      <c r="BK125" s="333">
        <f t="shared" si="288"/>
        <v>0.96799999999999997</v>
      </c>
      <c r="BL125" s="282"/>
      <c r="BM125" s="331">
        <f t="shared" ref="BM125" si="298">BM122</f>
        <v>2500</v>
      </c>
      <c r="BN125" s="333">
        <f t="shared" si="289"/>
        <v>1.0330578512396693</v>
      </c>
      <c r="BO125" s="333">
        <f t="shared" si="290"/>
        <v>1</v>
      </c>
      <c r="BQ125" s="331">
        <f t="shared" ref="BQ125:BR125" si="299">BQ122</f>
        <v>0</v>
      </c>
      <c r="BR125" s="331">
        <f t="shared" si="299"/>
        <v>2500</v>
      </c>
      <c r="BT125" s="331">
        <f t="shared" ref="BT125:BU125" si="300">BT122</f>
        <v>0</v>
      </c>
      <c r="BU125" s="331">
        <f t="shared" si="300"/>
        <v>2500</v>
      </c>
      <c r="BW125" s="331">
        <f t="shared" ref="BW125:BX125" si="301">BW122</f>
        <v>0</v>
      </c>
      <c r="BX125" s="331">
        <f t="shared" si="301"/>
        <v>2500</v>
      </c>
      <c r="BZ125" s="331">
        <f t="shared" ref="BZ125:CA125" si="302">BZ122</f>
        <v>0</v>
      </c>
      <c r="CA125" s="331">
        <f t="shared" si="302"/>
        <v>2500</v>
      </c>
      <c r="CC125" s="331">
        <f t="shared" ref="CC125:CD125" si="303">CC122</f>
        <v>0</v>
      </c>
      <c r="CD125" s="331">
        <f t="shared" si="303"/>
        <v>2500</v>
      </c>
      <c r="CF125" s="331">
        <f t="shared" ref="CF125:CG125" si="304">CF122</f>
        <v>0</v>
      </c>
      <c r="CG125" s="331">
        <f t="shared" si="304"/>
        <v>2500</v>
      </c>
      <c r="CH125" s="206"/>
      <c r="CI125" s="331">
        <f t="shared" ref="CI125:CJ125" si="305">CI122</f>
        <v>0</v>
      </c>
      <c r="CJ125" s="331">
        <f t="shared" si="305"/>
        <v>2500</v>
      </c>
      <c r="CL125" s="392">
        <f t="shared" ref="CL125:CM125" si="306">CL122</f>
        <v>0</v>
      </c>
      <c r="CM125" s="331">
        <f t="shared" si="306"/>
        <v>2500</v>
      </c>
      <c r="CO125" s="331">
        <f t="shared" ref="CO125:CP125" si="307">CO122</f>
        <v>0</v>
      </c>
      <c r="CP125" s="331">
        <f t="shared" si="307"/>
        <v>2500</v>
      </c>
      <c r="CQ125" s="206"/>
      <c r="CR125" s="331">
        <f t="shared" ref="CR125:CS125" si="308">CR122</f>
        <v>0</v>
      </c>
      <c r="CS125" s="331">
        <f t="shared" si="308"/>
        <v>2500</v>
      </c>
      <c r="CU125" s="331">
        <f t="shared" ref="CU125:CV125" si="309">CU122</f>
        <v>-2500</v>
      </c>
      <c r="CV125" s="331">
        <f t="shared" si="309"/>
        <v>0</v>
      </c>
      <c r="CX125" s="331">
        <f t="shared" ref="CX125:CY125" si="310">CX122</f>
        <v>0</v>
      </c>
      <c r="CY125" s="331">
        <f t="shared" si="310"/>
        <v>0</v>
      </c>
      <c r="DA125" s="331">
        <f t="shared" ref="DA125:DC125" si="311">DA122</f>
        <v>0</v>
      </c>
      <c r="DC125" s="331">
        <f t="shared" si="311"/>
        <v>0</v>
      </c>
    </row>
    <row r="126" spans="1:107" ht="15.75" outlineLevel="2" thickTop="1">
      <c r="A126" s="14" t="s">
        <v>61</v>
      </c>
      <c r="B126" s="14" t="s">
        <v>117</v>
      </c>
      <c r="C126" s="4" t="s">
        <v>118</v>
      </c>
      <c r="D126" s="52">
        <v>0</v>
      </c>
      <c r="E126" s="37">
        <v>0</v>
      </c>
      <c r="F126" s="52">
        <v>30000</v>
      </c>
      <c r="G126" s="37">
        <v>0</v>
      </c>
      <c r="H126" s="56">
        <v>0</v>
      </c>
      <c r="I126" s="18">
        <v>0</v>
      </c>
      <c r="L126" s="134">
        <v>0</v>
      </c>
      <c r="M126" s="20">
        <f>L126/F126-1</f>
        <v>-1</v>
      </c>
      <c r="N126" s="20" t="e">
        <f>L126/I126-1</f>
        <v>#DIV/0!</v>
      </c>
      <c r="Y126" s="134"/>
      <c r="AF126" s="213"/>
      <c r="AH126" s="18"/>
      <c r="AX126" s="18"/>
      <c r="BD126" s="18"/>
      <c r="BG126" s="18">
        <v>116300</v>
      </c>
      <c r="BH126" s="18">
        <f t="shared" ref="BH126:BH128" si="312">BE126+BG126</f>
        <v>116300</v>
      </c>
      <c r="BJ126" s="18">
        <v>116220.5</v>
      </c>
      <c r="BK126" s="279">
        <f t="shared" ref="BK126:BK128" si="313">BJ126/BH126</f>
        <v>0.99931642304385215</v>
      </c>
      <c r="BM126" s="348">
        <v>500000</v>
      </c>
      <c r="BN126" s="279">
        <f t="shared" si="289"/>
        <v>4.302167001518665</v>
      </c>
      <c r="BO126" s="279">
        <f t="shared" si="290"/>
        <v>4.2992261392949267</v>
      </c>
      <c r="BQ126" s="349">
        <v>-45400</v>
      </c>
      <c r="BR126" s="18">
        <f t="shared" ref="BR126" si="314">BM126+BQ126</f>
        <v>454600</v>
      </c>
      <c r="BT126" s="349">
        <v>-15000</v>
      </c>
      <c r="BU126" s="18">
        <f>BR126+BT126</f>
        <v>439600</v>
      </c>
      <c r="BW126" s="349">
        <v>-211634</v>
      </c>
      <c r="BX126" s="18">
        <f>BU126+BW126</f>
        <v>227966</v>
      </c>
      <c r="BZ126" s="289"/>
      <c r="CA126" s="18">
        <f>BX126+BZ126</f>
        <v>227966</v>
      </c>
      <c r="CC126" s="289"/>
      <c r="CD126" s="18">
        <f>CA126+CC126</f>
        <v>227966</v>
      </c>
      <c r="CF126" s="327">
        <v>-66010</v>
      </c>
      <c r="CG126" s="18">
        <f>CD126+CF126</f>
        <v>161956</v>
      </c>
      <c r="CI126" s="349">
        <v>-34200</v>
      </c>
      <c r="CJ126" s="18">
        <f>CG126+CI126</f>
        <v>127756</v>
      </c>
      <c r="CM126" s="18">
        <f>CJ126+CL126</f>
        <v>127756</v>
      </c>
      <c r="CO126" s="327"/>
      <c r="CP126" s="18">
        <f>CM126+CO126</f>
        <v>127756</v>
      </c>
      <c r="CQ126" s="206"/>
      <c r="CR126" s="327"/>
      <c r="CS126" s="18">
        <f>CP126+CR126</f>
        <v>127756</v>
      </c>
      <c r="CU126" s="327"/>
      <c r="CV126" s="18">
        <f>CS126+CU126</f>
        <v>127756</v>
      </c>
      <c r="CX126" s="327"/>
      <c r="CY126" s="18">
        <f>CV126+CX126</f>
        <v>127756</v>
      </c>
      <c r="DA126" s="327">
        <v>29588</v>
      </c>
      <c r="DC126" s="327">
        <v>620000</v>
      </c>
    </row>
    <row r="127" spans="1:107" outlineLevel="2">
      <c r="A127" s="14" t="s">
        <v>61</v>
      </c>
      <c r="B127" s="14" t="s">
        <v>309</v>
      </c>
      <c r="C127" s="4" t="s">
        <v>310</v>
      </c>
      <c r="D127" s="52">
        <v>0</v>
      </c>
      <c r="E127" s="37">
        <v>0</v>
      </c>
      <c r="F127" s="52">
        <v>0</v>
      </c>
      <c r="G127" s="37">
        <v>0</v>
      </c>
      <c r="H127" s="56">
        <v>26136</v>
      </c>
      <c r="I127" s="40">
        <v>26136</v>
      </c>
      <c r="J127" s="17"/>
      <c r="L127" s="134">
        <f>'[1]2020'!$Q$38</f>
        <v>300000</v>
      </c>
      <c r="M127" s="20" t="e">
        <f>L127/F127-1</f>
        <v>#DIV/0!</v>
      </c>
      <c r="N127" s="20">
        <f>L127/I127-1</f>
        <v>10.478420569329661</v>
      </c>
      <c r="Q127" s="134">
        <v>237000</v>
      </c>
      <c r="R127" s="18">
        <v>0</v>
      </c>
      <c r="S127" s="134">
        <v>0</v>
      </c>
      <c r="T127" s="18">
        <f>S127-Q127</f>
        <v>-237000</v>
      </c>
      <c r="U127" s="19">
        <f>S127/Q127-1</f>
        <v>-1</v>
      </c>
      <c r="V127" s="160">
        <f>L127+W127</f>
        <v>237000</v>
      </c>
      <c r="W127">
        <v>-63000</v>
      </c>
      <c r="Y127" s="134">
        <v>0</v>
      </c>
      <c r="AA127" s="134">
        <v>0</v>
      </c>
      <c r="AC127" s="219">
        <f t="shared" ref="AC127" si="315">AA127-Y127</f>
        <v>0</v>
      </c>
      <c r="AD127" s="219"/>
      <c r="AE127" s="134">
        <v>0</v>
      </c>
      <c r="AF127" s="213"/>
      <c r="AH127" s="18">
        <v>0</v>
      </c>
      <c r="AK127" s="134">
        <v>0</v>
      </c>
      <c r="AS127" s="18">
        <f t="shared" ref="AS127" si="316">AR127+AK127</f>
        <v>0</v>
      </c>
      <c r="AX127" s="18"/>
      <c r="BD127" s="18">
        <v>4000</v>
      </c>
      <c r="BE127" s="18">
        <f t="shared" ref="BE127:BE128" si="317">BB127+BD127</f>
        <v>4000</v>
      </c>
      <c r="BG127" s="18"/>
      <c r="BH127" s="18">
        <f t="shared" si="312"/>
        <v>4000</v>
      </c>
      <c r="BJ127" s="18">
        <v>3630</v>
      </c>
      <c r="BK127" s="279">
        <f t="shared" si="313"/>
        <v>0.90749999999999997</v>
      </c>
      <c r="BM127" s="289"/>
      <c r="BN127" s="279">
        <f t="shared" si="289"/>
        <v>0</v>
      </c>
      <c r="BO127" s="279">
        <f t="shared" si="290"/>
        <v>0</v>
      </c>
      <c r="BQ127" s="289"/>
      <c r="BR127" s="289"/>
      <c r="BT127" s="289"/>
      <c r="BU127" s="289"/>
      <c r="BW127" s="289"/>
      <c r="BX127" s="289"/>
      <c r="BZ127" s="289"/>
      <c r="CA127" s="289"/>
      <c r="CC127" s="289"/>
      <c r="CD127" s="289"/>
      <c r="CF127" s="289"/>
      <c r="CG127" s="289"/>
      <c r="CI127" s="289"/>
      <c r="CJ127" s="289"/>
      <c r="CM127" s="289"/>
      <c r="CP127" s="289"/>
      <c r="CQ127" s="206"/>
      <c r="CS127" s="289"/>
      <c r="CV127" s="289"/>
      <c r="CY127" s="289"/>
    </row>
    <row r="128" spans="1:107" outlineLevel="2">
      <c r="A128" s="268" t="s">
        <v>61</v>
      </c>
      <c r="B128" s="268" t="s">
        <v>407</v>
      </c>
      <c r="C128" s="4" t="s">
        <v>408</v>
      </c>
      <c r="D128" s="52"/>
      <c r="E128" s="37"/>
      <c r="F128" s="52"/>
      <c r="G128" s="37"/>
      <c r="H128" s="56"/>
      <c r="I128" s="40"/>
      <c r="J128" s="17"/>
      <c r="M128" s="20"/>
      <c r="N128" s="20"/>
      <c r="U128" s="19"/>
      <c r="V128" s="160"/>
      <c r="Y128" s="134"/>
      <c r="AC128" s="219"/>
      <c r="AD128" s="219"/>
      <c r="AF128" s="213"/>
      <c r="AH128" s="18"/>
      <c r="AS128" s="18"/>
      <c r="AX128" s="18"/>
      <c r="BA128" s="269">
        <v>33000</v>
      </c>
      <c r="BB128" s="18">
        <f t="shared" ref="BB128" si="318">AY128+BA128</f>
        <v>33000</v>
      </c>
      <c r="BD128" s="18">
        <v>60100</v>
      </c>
      <c r="BE128" s="18">
        <f t="shared" si="317"/>
        <v>93100</v>
      </c>
      <c r="BG128" s="18"/>
      <c r="BH128" s="18">
        <f t="shared" si="312"/>
        <v>93100</v>
      </c>
      <c r="BJ128" s="18">
        <v>92969</v>
      </c>
      <c r="BK128" s="279">
        <f t="shared" si="313"/>
        <v>0.99859291084854995</v>
      </c>
      <c r="BM128" s="289"/>
      <c r="BN128" s="279">
        <f t="shared" si="289"/>
        <v>0</v>
      </c>
      <c r="BO128" s="279">
        <f t="shared" si="290"/>
        <v>0</v>
      </c>
      <c r="BQ128" s="289"/>
      <c r="BR128" s="289"/>
      <c r="BT128" s="289"/>
      <c r="BU128" s="289"/>
      <c r="BW128" s="289"/>
      <c r="BX128" s="289"/>
      <c r="BZ128" s="289"/>
      <c r="CA128" s="289"/>
      <c r="CC128" s="289"/>
      <c r="CD128" s="289"/>
      <c r="CF128" s="289"/>
      <c r="CG128" s="289"/>
      <c r="CI128" s="289"/>
      <c r="CJ128" s="289"/>
      <c r="CM128" s="289"/>
      <c r="CP128" s="289"/>
      <c r="CQ128" s="206"/>
      <c r="CS128" s="289"/>
      <c r="CV128" s="289"/>
      <c r="CY128" s="289"/>
    </row>
    <row r="129" spans="1:107" outlineLevel="2">
      <c r="A129" s="14" t="s">
        <v>61</v>
      </c>
      <c r="B129" s="4" t="s">
        <v>46</v>
      </c>
      <c r="C129" s="4" t="s">
        <v>64</v>
      </c>
      <c r="D129" s="52">
        <v>0</v>
      </c>
      <c r="E129" s="37">
        <v>0</v>
      </c>
      <c r="F129" s="52">
        <v>30000</v>
      </c>
      <c r="G129" s="37">
        <v>87.12</v>
      </c>
      <c r="H129" s="56">
        <v>26136</v>
      </c>
      <c r="I129" s="40"/>
      <c r="J129" s="17"/>
      <c r="Y129" s="134"/>
      <c r="AF129" s="213"/>
      <c r="AH129" s="18"/>
      <c r="AX129" s="18"/>
      <c r="BD129" s="18"/>
      <c r="BG129" s="18"/>
    </row>
    <row r="130" spans="1:107" outlineLevel="2">
      <c r="A130" s="14" t="s">
        <v>65</v>
      </c>
      <c r="B130" s="4" t="s">
        <v>48</v>
      </c>
      <c r="C130" s="4" t="s">
        <v>66</v>
      </c>
      <c r="D130" s="52">
        <v>63500</v>
      </c>
      <c r="E130" s="37">
        <v>114.1</v>
      </c>
      <c r="F130" s="52">
        <v>103500</v>
      </c>
      <c r="G130" s="37">
        <v>70.010000000000005</v>
      </c>
      <c r="H130" s="56">
        <v>72456.210000000006</v>
      </c>
      <c r="I130" s="40"/>
      <c r="J130" s="17"/>
      <c r="Y130" s="134"/>
      <c r="AF130" s="213"/>
      <c r="AH130" s="18"/>
      <c r="AX130" s="18"/>
      <c r="BD130" s="18"/>
      <c r="BG130" s="18"/>
    </row>
    <row r="131" spans="1:107" ht="15.75" thickBot="1">
      <c r="A131" s="70" t="s">
        <v>61</v>
      </c>
      <c r="B131" s="71" t="s">
        <v>320</v>
      </c>
      <c r="C131" s="338" t="s">
        <v>64</v>
      </c>
      <c r="D131" s="73">
        <f>D126</f>
        <v>0</v>
      </c>
      <c r="E131" s="74"/>
      <c r="F131" s="73">
        <f>F126</f>
        <v>30000</v>
      </c>
      <c r="G131" s="74"/>
      <c r="H131" s="73"/>
      <c r="I131" s="73">
        <f>I126</f>
        <v>0</v>
      </c>
      <c r="J131" s="75"/>
      <c r="K131" s="76"/>
      <c r="L131" s="138">
        <f>L126</f>
        <v>0</v>
      </c>
      <c r="M131" s="77">
        <f>L131/F131-1</f>
        <v>-1</v>
      </c>
      <c r="N131" s="77" t="e">
        <f>L131/I131-1</f>
        <v>#DIV/0!</v>
      </c>
      <c r="Q131" s="138">
        <f t="shared" ref="Q131:T132" si="319">Q126</f>
        <v>0</v>
      </c>
      <c r="R131" s="138">
        <f t="shared" si="319"/>
        <v>0</v>
      </c>
      <c r="S131" s="138">
        <f t="shared" si="319"/>
        <v>0</v>
      </c>
      <c r="T131" s="138">
        <f t="shared" si="319"/>
        <v>0</v>
      </c>
      <c r="U131" s="175" t="e">
        <f>S131/Q131-1</f>
        <v>#DIV/0!</v>
      </c>
      <c r="Y131" s="138">
        <f t="shared" ref="Y131:AB132" si="320">Y126</f>
        <v>0</v>
      </c>
      <c r="AA131" s="138">
        <f>AA126</f>
        <v>0</v>
      </c>
      <c r="AB131" s="138">
        <f t="shared" si="320"/>
        <v>0</v>
      </c>
      <c r="AE131" s="138">
        <f>AE126</f>
        <v>0</v>
      </c>
      <c r="AF131" s="213"/>
      <c r="AH131" s="138">
        <f>AH126</f>
        <v>0</v>
      </c>
      <c r="AK131" s="138">
        <f>AK126</f>
        <v>0</v>
      </c>
      <c r="AL131" s="229" t="e">
        <f t="shared" ref="AL131:AL132" si="321">AK131/L131</f>
        <v>#DIV/0!</v>
      </c>
      <c r="AM131" s="20" t="e">
        <f t="shared" ref="AM131:AM132" si="322">AK131/AE131</f>
        <v>#DIV/0!</v>
      </c>
      <c r="AN131" s="20" t="e">
        <f t="shared" ref="AN131:AN132" si="323">AK131/AH131</f>
        <v>#DIV/0!</v>
      </c>
      <c r="AS131" s="138">
        <f>AS126</f>
        <v>0</v>
      </c>
      <c r="AU131" s="138">
        <f>AU126</f>
        <v>0</v>
      </c>
      <c r="AV131" s="138">
        <f>AV126</f>
        <v>0</v>
      </c>
      <c r="AX131" s="138">
        <f>AX126</f>
        <v>0</v>
      </c>
      <c r="AY131" s="138">
        <f>AY126</f>
        <v>0</v>
      </c>
      <c r="BA131" s="138">
        <f>BA126</f>
        <v>0</v>
      </c>
      <c r="BB131" s="138">
        <f>BB126</f>
        <v>0</v>
      </c>
      <c r="BD131" s="138">
        <f>BD126</f>
        <v>0</v>
      </c>
      <c r="BE131" s="138">
        <f>BE126</f>
        <v>0</v>
      </c>
      <c r="BG131" s="138">
        <f>BG126</f>
        <v>116300</v>
      </c>
      <c r="BH131" s="138">
        <f>BH126</f>
        <v>116300</v>
      </c>
      <c r="BJ131" s="138">
        <f>BJ126</f>
        <v>116220.5</v>
      </c>
      <c r="BK131" s="280">
        <f t="shared" ref="BK131:BK132" si="324">BJ131/BH131</f>
        <v>0.99931642304385215</v>
      </c>
      <c r="BM131" s="138">
        <f>BM126</f>
        <v>500000</v>
      </c>
      <c r="BN131" s="280">
        <f t="shared" ref="BN131:BN132" si="325">BM131/BJ131</f>
        <v>4.302167001518665</v>
      </c>
      <c r="BO131" s="280">
        <f t="shared" ref="BO131:BO132" si="326">BM131/BH131</f>
        <v>4.2992261392949267</v>
      </c>
      <c r="BQ131" s="138">
        <f>BQ126</f>
        <v>-45400</v>
      </c>
      <c r="BR131" s="138">
        <f>BR126</f>
        <v>454600</v>
      </c>
      <c r="BT131" s="138">
        <f>BT126</f>
        <v>-15000</v>
      </c>
      <c r="BU131" s="138">
        <f>BU126</f>
        <v>439600</v>
      </c>
      <c r="BW131" s="138">
        <f>BW126</f>
        <v>-211634</v>
      </c>
      <c r="BX131" s="138">
        <f>BX126</f>
        <v>227966</v>
      </c>
      <c r="BZ131" s="138">
        <f>BZ126</f>
        <v>0</v>
      </c>
      <c r="CA131" s="138">
        <f>CA126</f>
        <v>227966</v>
      </c>
      <c r="CC131" s="138">
        <f>CC126</f>
        <v>0</v>
      </c>
      <c r="CD131" s="138">
        <f>CD126</f>
        <v>227966</v>
      </c>
      <c r="CF131" s="138">
        <f>CF126</f>
        <v>-66010</v>
      </c>
      <c r="CG131" s="138">
        <f>CG126</f>
        <v>161956</v>
      </c>
      <c r="CI131" s="138">
        <f>CI126</f>
        <v>-34200</v>
      </c>
      <c r="CJ131" s="138">
        <f>CJ126</f>
        <v>127756</v>
      </c>
      <c r="CL131" s="391">
        <f>CL126</f>
        <v>0</v>
      </c>
      <c r="CM131" s="138">
        <f>CM126</f>
        <v>127756</v>
      </c>
      <c r="CO131" s="138">
        <f>CO126</f>
        <v>0</v>
      </c>
      <c r="CP131" s="138">
        <f>CP126</f>
        <v>127756</v>
      </c>
      <c r="CR131" s="138">
        <f>CR126</f>
        <v>0</v>
      </c>
      <c r="CS131" s="138">
        <f>CS126</f>
        <v>127756</v>
      </c>
      <c r="CU131" s="138">
        <f>CU126</f>
        <v>0</v>
      </c>
      <c r="CV131" s="138">
        <f>CV126</f>
        <v>127756</v>
      </c>
      <c r="CX131" s="138">
        <f>CX126</f>
        <v>0</v>
      </c>
      <c r="CY131" s="138">
        <f>CY126</f>
        <v>127756</v>
      </c>
      <c r="DA131" s="138">
        <f>DA126</f>
        <v>29588</v>
      </c>
      <c r="DC131" s="138">
        <f>DC126</f>
        <v>620000</v>
      </c>
    </row>
    <row r="132" spans="1:107" ht="16.5" thickTop="1" thickBot="1">
      <c r="A132" s="91" t="s">
        <v>61</v>
      </c>
      <c r="B132" s="92" t="s">
        <v>281</v>
      </c>
      <c r="C132" s="340" t="s">
        <v>344</v>
      </c>
      <c r="D132" s="94">
        <f>D127</f>
        <v>0</v>
      </c>
      <c r="E132" s="95"/>
      <c r="F132" s="94">
        <f>F127</f>
        <v>0</v>
      </c>
      <c r="G132" s="95"/>
      <c r="H132" s="94"/>
      <c r="I132" s="94">
        <f>I127</f>
        <v>26136</v>
      </c>
      <c r="J132" s="96"/>
      <c r="K132" s="93"/>
      <c r="L132" s="140">
        <f>L127</f>
        <v>300000</v>
      </c>
      <c r="M132" s="97" t="e">
        <f>L132/F132-1</f>
        <v>#DIV/0!</v>
      </c>
      <c r="N132" s="97">
        <f>L132/I132-1</f>
        <v>10.478420569329661</v>
      </c>
      <c r="Q132" s="140">
        <f t="shared" si="319"/>
        <v>237000</v>
      </c>
      <c r="R132" s="140">
        <f t="shared" si="319"/>
        <v>0</v>
      </c>
      <c r="S132" s="140">
        <f t="shared" si="319"/>
        <v>0</v>
      </c>
      <c r="T132" s="140">
        <f t="shared" si="319"/>
        <v>-237000</v>
      </c>
      <c r="U132" s="176">
        <f>S132/Q132-1</f>
        <v>-1</v>
      </c>
      <c r="Y132" s="140">
        <f t="shared" si="320"/>
        <v>0</v>
      </c>
      <c r="AA132" s="140">
        <f t="shared" si="320"/>
        <v>0</v>
      </c>
      <c r="AB132" s="140">
        <f t="shared" si="320"/>
        <v>0</v>
      </c>
      <c r="AE132" s="140">
        <f t="shared" ref="AE132" si="327">AE127</f>
        <v>0</v>
      </c>
      <c r="AF132" s="213"/>
      <c r="AH132" s="140">
        <f t="shared" ref="AH132" si="328">AH127</f>
        <v>0</v>
      </c>
      <c r="AK132" s="140">
        <f>AK127</f>
        <v>0</v>
      </c>
      <c r="AL132" s="229">
        <f t="shared" si="321"/>
        <v>0</v>
      </c>
      <c r="AM132" s="20" t="e">
        <f t="shared" si="322"/>
        <v>#DIV/0!</v>
      </c>
      <c r="AN132" s="20" t="e">
        <f t="shared" si="323"/>
        <v>#DIV/0!</v>
      </c>
      <c r="AS132" s="140">
        <f>AS127</f>
        <v>0</v>
      </c>
      <c r="AU132" s="140">
        <f>AU127</f>
        <v>0</v>
      </c>
      <c r="AV132" s="140">
        <f>AV127</f>
        <v>0</v>
      </c>
      <c r="AX132" s="140">
        <f>AX127</f>
        <v>0</v>
      </c>
      <c r="AY132" s="140">
        <f>AY127</f>
        <v>0</v>
      </c>
      <c r="BA132" s="140">
        <f>BA127+BA128</f>
        <v>33000</v>
      </c>
      <c r="BB132" s="140">
        <f>BB127+BB128</f>
        <v>33000</v>
      </c>
      <c r="BD132" s="140">
        <f>BD127+BD128</f>
        <v>64100</v>
      </c>
      <c r="BE132" s="140">
        <f>BE127+BE128</f>
        <v>97100</v>
      </c>
      <c r="BG132" s="140">
        <f>BG127+BG128</f>
        <v>0</v>
      </c>
      <c r="BH132" s="140">
        <f>BH127+BH128</f>
        <v>97100</v>
      </c>
      <c r="BJ132" s="140">
        <f>BJ127+BJ128</f>
        <v>96599</v>
      </c>
      <c r="BK132" s="281">
        <f t="shared" si="324"/>
        <v>0.99484037075180232</v>
      </c>
      <c r="BM132" s="140">
        <f>BM127+BM128</f>
        <v>0</v>
      </c>
      <c r="BN132" s="281">
        <f t="shared" si="325"/>
        <v>0</v>
      </c>
      <c r="BO132" s="281">
        <f t="shared" si="326"/>
        <v>0</v>
      </c>
      <c r="BQ132" s="140">
        <f>BQ127+BQ128</f>
        <v>0</v>
      </c>
      <c r="BR132" s="140">
        <f>BR127+BR128</f>
        <v>0</v>
      </c>
      <c r="BT132" s="140">
        <f>BT127+BT128</f>
        <v>0</v>
      </c>
      <c r="BU132" s="140">
        <f>BU127+BU128</f>
        <v>0</v>
      </c>
      <c r="BW132" s="140">
        <f>BW127+BW128</f>
        <v>0</v>
      </c>
      <c r="BX132" s="140">
        <f>BX127+BX128</f>
        <v>0</v>
      </c>
      <c r="BZ132" s="140">
        <f>BZ127+BZ128</f>
        <v>0</v>
      </c>
      <c r="CA132" s="140">
        <f>CA127+CA128</f>
        <v>0</v>
      </c>
      <c r="CC132" s="140">
        <f>CC127+CC128</f>
        <v>0</v>
      </c>
      <c r="CD132" s="140">
        <f>CD127+CD128</f>
        <v>0</v>
      </c>
      <c r="CF132" s="140">
        <f>CF127+CF128</f>
        <v>0</v>
      </c>
      <c r="CG132" s="140">
        <f>CG127+CG128</f>
        <v>0</v>
      </c>
      <c r="CI132" s="140">
        <f>CI127+CI128</f>
        <v>0</v>
      </c>
      <c r="CJ132" s="140">
        <f>CJ127+CJ128</f>
        <v>0</v>
      </c>
      <c r="CL132" s="391">
        <f>CL127+CL128</f>
        <v>0</v>
      </c>
      <c r="CM132" s="140">
        <f>CM127+CM128</f>
        <v>0</v>
      </c>
      <c r="CO132" s="140">
        <f>CO127+CO128</f>
        <v>0</v>
      </c>
      <c r="CP132" s="140">
        <f>CP127+CP128</f>
        <v>0</v>
      </c>
      <c r="CR132" s="140">
        <f>CR127+CR128</f>
        <v>0</v>
      </c>
      <c r="CS132" s="140">
        <f>CS127+CS128</f>
        <v>0</v>
      </c>
      <c r="CU132" s="140">
        <f>CU127+CU128</f>
        <v>0</v>
      </c>
      <c r="CV132" s="140">
        <f>CV127+CV128</f>
        <v>0</v>
      </c>
      <c r="CX132" s="140">
        <f>CX127+CX128</f>
        <v>0</v>
      </c>
      <c r="CY132" s="140">
        <f>CY127+CY128</f>
        <v>0</v>
      </c>
      <c r="DA132" s="140">
        <f>DA127+DA128</f>
        <v>0</v>
      </c>
      <c r="DC132" s="140">
        <f>DC127+DC128</f>
        <v>0</v>
      </c>
    </row>
    <row r="133" spans="1:107" ht="15.75" outlineLevel="1" thickTop="1">
      <c r="A133" s="14" t="s">
        <v>179</v>
      </c>
      <c r="B133" s="14" t="s">
        <v>117</v>
      </c>
      <c r="C133" s="4" t="s">
        <v>118</v>
      </c>
      <c r="D133" s="52">
        <v>12000</v>
      </c>
      <c r="E133" s="37">
        <v>72.510000000000005</v>
      </c>
      <c r="F133" s="52">
        <v>12000</v>
      </c>
      <c r="G133" s="37">
        <v>72.510000000000005</v>
      </c>
      <c r="H133" s="56">
        <v>8701</v>
      </c>
      <c r="I133" s="40">
        <v>10000</v>
      </c>
      <c r="J133" s="17"/>
      <c r="K133" t="s">
        <v>336</v>
      </c>
      <c r="L133" s="134">
        <v>15000</v>
      </c>
      <c r="M133" s="20">
        <f>L133/F133-1</f>
        <v>0.25</v>
      </c>
      <c r="N133" s="20">
        <f>L133/I133-1</f>
        <v>0.5</v>
      </c>
      <c r="Q133" s="134">
        <v>15000</v>
      </c>
      <c r="R133" s="18">
        <v>4539</v>
      </c>
      <c r="S133" s="134">
        <v>10000</v>
      </c>
      <c r="T133" s="18">
        <f>S133-Q133</f>
        <v>-5000</v>
      </c>
      <c r="U133" s="19">
        <f>S133/Q133-1</f>
        <v>-0.33333333333333337</v>
      </c>
      <c r="Y133" s="134">
        <v>10000</v>
      </c>
      <c r="AA133" s="134">
        <v>8500</v>
      </c>
      <c r="AB133" s="216">
        <f t="shared" ref="AB133" si="329">AA133-Y133</f>
        <v>-1500</v>
      </c>
      <c r="AC133" s="219">
        <f t="shared" ref="AC133" si="330">AA133-Y133</f>
        <v>-1500</v>
      </c>
      <c r="AD133" s="219"/>
      <c r="AE133" s="134">
        <v>8500</v>
      </c>
      <c r="AF133" s="213"/>
      <c r="AH133" s="18">
        <v>7278.18</v>
      </c>
      <c r="AI133" s="20">
        <f t="shared" ref="AI133" si="331">AH133/AE133</f>
        <v>0.85625647058823529</v>
      </c>
      <c r="AK133" s="134">
        <v>7500</v>
      </c>
      <c r="AS133" s="18">
        <f t="shared" ref="AS133" si="332">AR133+AK133</f>
        <v>7500</v>
      </c>
      <c r="AV133" s="18">
        <f t="shared" ref="AV133" si="333">AS133+AU133</f>
        <v>7500</v>
      </c>
      <c r="AX133" s="18"/>
      <c r="AY133" s="18">
        <f t="shared" ref="AY133" si="334">AV133+AX133</f>
        <v>7500</v>
      </c>
      <c r="BB133" s="18">
        <f t="shared" ref="BB133" si="335">AY133+BA133</f>
        <v>7500</v>
      </c>
      <c r="BD133" s="18"/>
      <c r="BE133" s="18">
        <f t="shared" ref="BE133" si="336">BB133+BD133</f>
        <v>7500</v>
      </c>
      <c r="BG133" s="18"/>
      <c r="BH133" s="18">
        <f t="shared" ref="BH133" si="337">BE133+BG133</f>
        <v>7500</v>
      </c>
      <c r="BJ133" s="18">
        <v>6026</v>
      </c>
      <c r="BK133" s="279">
        <f t="shared" ref="BK133" si="338">BJ133/BH133</f>
        <v>0.80346666666666666</v>
      </c>
      <c r="BM133" s="289">
        <v>8000</v>
      </c>
      <c r="BN133" s="279">
        <f t="shared" ref="BN133" si="339">BM133/BJ133</f>
        <v>1.3275804845668768</v>
      </c>
      <c r="BO133" s="279">
        <f t="shared" ref="BO133" si="340">BM133/BH133</f>
        <v>1.0666666666666667</v>
      </c>
      <c r="BQ133" s="289"/>
      <c r="BR133" s="18">
        <f t="shared" ref="BR133" si="341">BM133+BQ133</f>
        <v>8000</v>
      </c>
      <c r="BT133" s="289"/>
      <c r="BU133" s="18">
        <f>BR133+BT133</f>
        <v>8000</v>
      </c>
      <c r="BW133" s="289"/>
      <c r="BX133" s="18">
        <f>BU133+BW133</f>
        <v>8000</v>
      </c>
      <c r="BZ133" s="289"/>
      <c r="CA133" s="18">
        <f>BX133+BZ133</f>
        <v>8000</v>
      </c>
      <c r="CC133" s="289"/>
      <c r="CD133" s="18">
        <f>CA133+CC133</f>
        <v>8000</v>
      </c>
      <c r="CF133" s="289"/>
      <c r="CG133" s="18">
        <f>CD133+CF133</f>
        <v>8000</v>
      </c>
      <c r="CI133" s="289"/>
      <c r="CJ133" s="18">
        <f>CG133+CI133</f>
        <v>8000</v>
      </c>
      <c r="CM133" s="18">
        <f>CJ133+CL133</f>
        <v>8000</v>
      </c>
      <c r="CO133" s="327">
        <v>-2000</v>
      </c>
      <c r="CP133" s="18">
        <f>CM133+CO133</f>
        <v>6000</v>
      </c>
      <c r="CR133" s="327"/>
      <c r="CS133" s="18">
        <f>CP133+CR133</f>
        <v>6000</v>
      </c>
      <c r="CU133" s="327"/>
      <c r="CV133" s="18">
        <f>CS133+CU133</f>
        <v>6000</v>
      </c>
      <c r="CX133" s="327"/>
      <c r="CY133" s="18">
        <f>CV133+CX133</f>
        <v>6000</v>
      </c>
      <c r="DA133" s="327">
        <v>5655.77</v>
      </c>
      <c r="DC133" s="327">
        <v>7000</v>
      </c>
    </row>
    <row r="134" spans="1:107" outlineLevel="1">
      <c r="A134" s="14" t="s">
        <v>179</v>
      </c>
      <c r="B134" s="4" t="s">
        <v>46</v>
      </c>
      <c r="C134" s="4" t="s">
        <v>180</v>
      </c>
      <c r="D134" s="52">
        <v>12000</v>
      </c>
      <c r="E134" s="37">
        <v>72.510000000000005</v>
      </c>
      <c r="F134" s="52">
        <v>12000</v>
      </c>
      <c r="G134" s="37">
        <v>72.510000000000005</v>
      </c>
      <c r="H134" s="56">
        <v>8701</v>
      </c>
      <c r="I134" s="40"/>
      <c r="J134" s="17"/>
      <c r="Y134" s="134"/>
      <c r="AF134" s="213"/>
      <c r="AH134" s="18"/>
      <c r="AX134" s="18"/>
      <c r="BD134" s="18"/>
      <c r="BG134" s="18"/>
      <c r="CO134" s="327"/>
      <c r="CR134" s="327"/>
      <c r="CU134" s="327"/>
      <c r="CX134" s="327"/>
      <c r="DA134" s="327"/>
      <c r="DC134" s="327"/>
    </row>
    <row r="135" spans="1:107" outlineLevel="1">
      <c r="A135" s="14" t="s">
        <v>181</v>
      </c>
      <c r="B135" s="14" t="s">
        <v>117</v>
      </c>
      <c r="C135" s="4" t="s">
        <v>118</v>
      </c>
      <c r="D135" s="52">
        <v>185000</v>
      </c>
      <c r="E135" s="37">
        <v>102.38</v>
      </c>
      <c r="F135" s="52">
        <v>235000</v>
      </c>
      <c r="G135" s="37">
        <v>80.599999999999994</v>
      </c>
      <c r="H135" s="56">
        <v>189400.07</v>
      </c>
      <c r="I135" s="40">
        <v>252000</v>
      </c>
      <c r="J135" s="17"/>
      <c r="K135" t="s">
        <v>336</v>
      </c>
      <c r="L135" s="134">
        <v>270000</v>
      </c>
      <c r="M135" s="20">
        <f>L135/F135-1</f>
        <v>0.14893617021276606</v>
      </c>
      <c r="N135" s="20">
        <f>L135/I135-1</f>
        <v>7.1428571428571397E-2</v>
      </c>
      <c r="Q135" s="134">
        <v>270000</v>
      </c>
      <c r="R135" s="18">
        <v>128630</v>
      </c>
      <c r="S135" s="134">
        <v>260000</v>
      </c>
      <c r="T135" s="18">
        <f>S135-Q135</f>
        <v>-10000</v>
      </c>
      <c r="U135" s="19">
        <f>S135/Q135-1</f>
        <v>-3.703703703703709E-2</v>
      </c>
      <c r="Y135" s="134">
        <v>260000</v>
      </c>
      <c r="AA135" s="134">
        <v>260000</v>
      </c>
      <c r="AB135" s="216">
        <f t="shared" ref="AB135" si="342">AA135-Y135</f>
        <v>0</v>
      </c>
      <c r="AC135" s="219">
        <f t="shared" ref="AC135" si="343">AA135-Y135</f>
        <v>0</v>
      </c>
      <c r="AD135" s="219"/>
      <c r="AE135" s="134">
        <v>260000</v>
      </c>
      <c r="AF135" s="213"/>
      <c r="AH135" s="18">
        <v>233955.72</v>
      </c>
      <c r="AI135" s="20">
        <f t="shared" ref="AI135" si="344">AH135/AE135</f>
        <v>0.89982969230769227</v>
      </c>
      <c r="AK135" s="134">
        <v>248000</v>
      </c>
      <c r="AS135" s="18">
        <f t="shared" ref="AS135" si="345">AR135+AK135</f>
        <v>248000</v>
      </c>
      <c r="AV135" s="18">
        <f t="shared" ref="AV135" si="346">AS135+AU135</f>
        <v>248000</v>
      </c>
      <c r="AX135" s="18"/>
      <c r="AY135" s="18">
        <f t="shared" ref="AY135" si="347">AV135+AX135</f>
        <v>248000</v>
      </c>
      <c r="BB135" s="18">
        <f t="shared" ref="BB135" si="348">AY135+BA135</f>
        <v>248000</v>
      </c>
      <c r="BD135" s="18">
        <v>-28000</v>
      </c>
      <c r="BE135" s="18">
        <f t="shared" ref="BE135" si="349">BB135+BD135</f>
        <v>220000</v>
      </c>
      <c r="BG135" s="18">
        <v>2500</v>
      </c>
      <c r="BH135" s="18">
        <f t="shared" ref="BH135" si="350">BE135+BG135</f>
        <v>222500</v>
      </c>
      <c r="BJ135" s="18">
        <v>222290.49</v>
      </c>
      <c r="BK135" s="279">
        <f t="shared" ref="BK135" si="351">BJ135/BH135</f>
        <v>0.99905838202247188</v>
      </c>
      <c r="BM135" s="327">
        <v>305000</v>
      </c>
      <c r="BN135" s="279">
        <f t="shared" ref="BN135" si="352">BM135/BJ135</f>
        <v>1.3720784906272869</v>
      </c>
      <c r="BO135" s="279">
        <f t="shared" ref="BO135" si="353">BM135/BH135</f>
        <v>1.3707865168539326</v>
      </c>
      <c r="BQ135" s="289"/>
      <c r="BR135" s="18">
        <f t="shared" ref="BR135" si="354">BM135+BQ135</f>
        <v>305000</v>
      </c>
      <c r="BT135" s="289"/>
      <c r="BU135" s="18">
        <f>BR135+BT135</f>
        <v>305000</v>
      </c>
      <c r="BW135" s="289"/>
      <c r="BX135" s="18">
        <f>BU135+BW135</f>
        <v>305000</v>
      </c>
      <c r="BZ135" s="289"/>
      <c r="CA135" s="18">
        <f>BX135+BZ135</f>
        <v>305000</v>
      </c>
      <c r="CC135" s="289"/>
      <c r="CD135" s="18">
        <f>CA135+CC135</f>
        <v>305000</v>
      </c>
      <c r="CF135" s="289"/>
      <c r="CG135" s="18">
        <f>CD135+CF135</f>
        <v>305000</v>
      </c>
      <c r="CI135" s="289"/>
      <c r="CJ135" s="18">
        <f>CG135+CI135</f>
        <v>305000</v>
      </c>
      <c r="CM135" s="18">
        <f>CJ135+CL135</f>
        <v>305000</v>
      </c>
      <c r="CO135" s="327">
        <v>35000</v>
      </c>
      <c r="CP135" s="18">
        <f>CM135+CO135</f>
        <v>340000</v>
      </c>
      <c r="CR135" s="327"/>
      <c r="CS135" s="18">
        <f>CP135+CR135</f>
        <v>340000</v>
      </c>
      <c r="CU135" s="327"/>
      <c r="CV135" s="18">
        <f>CS135+CU135</f>
        <v>340000</v>
      </c>
      <c r="CX135" s="327"/>
      <c r="CY135" s="18">
        <f>CV135+CX135</f>
        <v>340000</v>
      </c>
      <c r="DA135" s="327">
        <v>338492.6</v>
      </c>
      <c r="DC135" s="327">
        <f>360000+50*600*1.21+700</f>
        <v>397000</v>
      </c>
    </row>
    <row r="136" spans="1:107" outlineLevel="1">
      <c r="A136" s="14" t="s">
        <v>181</v>
      </c>
      <c r="B136" s="4" t="s">
        <v>46</v>
      </c>
      <c r="C136" s="4" t="s">
        <v>182</v>
      </c>
      <c r="D136" s="52">
        <v>185000</v>
      </c>
      <c r="E136" s="37">
        <v>102.38</v>
      </c>
      <c r="F136" s="52">
        <v>235000</v>
      </c>
      <c r="G136" s="37">
        <v>80.599999999999994</v>
      </c>
      <c r="H136" s="56">
        <v>189400.07</v>
      </c>
      <c r="I136" s="40"/>
      <c r="J136" s="17"/>
      <c r="Y136" s="134"/>
      <c r="AF136" s="213"/>
      <c r="AH136" s="18"/>
      <c r="AX136" s="18"/>
      <c r="BD136" s="18"/>
      <c r="BG136" s="18"/>
      <c r="CO136" s="327"/>
      <c r="CR136" s="327"/>
      <c r="CU136" s="327"/>
      <c r="CX136" s="327"/>
      <c r="DA136" s="207"/>
      <c r="DC136" s="327"/>
    </row>
    <row r="137" spans="1:107" outlineLevel="1">
      <c r="A137" s="14" t="s">
        <v>183</v>
      </c>
      <c r="B137" s="14" t="s">
        <v>117</v>
      </c>
      <c r="C137" s="4" t="s">
        <v>118</v>
      </c>
      <c r="D137" s="52">
        <v>1000</v>
      </c>
      <c r="E137" s="37">
        <v>1136.46</v>
      </c>
      <c r="F137" s="52">
        <v>30000</v>
      </c>
      <c r="G137" s="37">
        <v>37.880000000000003</v>
      </c>
      <c r="H137" s="56">
        <v>11364.6</v>
      </c>
      <c r="I137" s="40">
        <v>15000</v>
      </c>
      <c r="J137" s="17"/>
      <c r="K137" t="s">
        <v>336</v>
      </c>
      <c r="L137" s="134">
        <v>15000</v>
      </c>
      <c r="M137" s="20">
        <f>L137/F137-1</f>
        <v>-0.5</v>
      </c>
      <c r="N137" s="20">
        <f>L137/I137-1</f>
        <v>0</v>
      </c>
      <c r="Q137" s="134">
        <v>15000</v>
      </c>
      <c r="R137" s="18">
        <v>8659</v>
      </c>
      <c r="S137" s="134">
        <v>16000</v>
      </c>
      <c r="T137" s="18">
        <f>S137-Q137</f>
        <v>1000</v>
      </c>
      <c r="U137" s="19">
        <f>S137/Q137-1</f>
        <v>6.6666666666666652E-2</v>
      </c>
      <c r="Y137" s="134">
        <v>16000</v>
      </c>
      <c r="AA137" s="134">
        <v>25000</v>
      </c>
      <c r="AB137" s="216">
        <f t="shared" ref="AB137:AB138" si="355">AA137-Y137</f>
        <v>9000</v>
      </c>
      <c r="AC137" s="219">
        <f t="shared" ref="AC137" si="356">AA137-Y137</f>
        <v>9000</v>
      </c>
      <c r="AD137" s="219"/>
      <c r="AE137" s="134">
        <v>25000</v>
      </c>
      <c r="AF137" s="213"/>
      <c r="AH137" s="18">
        <v>22945.57</v>
      </c>
      <c r="AI137" s="20">
        <f t="shared" ref="AI137" si="357">AH137/AE137</f>
        <v>0.91782279999999994</v>
      </c>
      <c r="AK137" s="134">
        <v>25000</v>
      </c>
      <c r="AS137" s="18">
        <f t="shared" ref="AS137:AS138" si="358">AR137+AK137</f>
        <v>25000</v>
      </c>
      <c r="AV137" s="18">
        <f t="shared" ref="AV137:AV138" si="359">AS137+AU137</f>
        <v>25000</v>
      </c>
      <c r="AX137" s="18"/>
      <c r="AY137" s="18">
        <f t="shared" ref="AY137:AY138" si="360">AV137+AX137</f>
        <v>25000</v>
      </c>
      <c r="BB137" s="18">
        <f t="shared" ref="BB137:BB138" si="361">AY137+BA137</f>
        <v>25000</v>
      </c>
      <c r="BD137" s="18">
        <v>-5000</v>
      </c>
      <c r="BE137" s="18">
        <f t="shared" ref="BE137:BE138" si="362">BB137+BD137</f>
        <v>20000</v>
      </c>
      <c r="BG137" s="18"/>
      <c r="BH137" s="18">
        <f t="shared" ref="BH137:BH138" si="363">BE137+BG137</f>
        <v>20000</v>
      </c>
      <c r="BJ137" s="18">
        <v>18299.57</v>
      </c>
      <c r="BK137" s="279">
        <f t="shared" ref="BK137" si="364">BJ137/BH137</f>
        <v>0.91497850000000003</v>
      </c>
      <c r="BM137" s="289">
        <v>25000</v>
      </c>
      <c r="BN137" s="279">
        <f t="shared" ref="BN137" si="365">BM137/BJ137</f>
        <v>1.3661523194260849</v>
      </c>
      <c r="BO137" s="279">
        <f t="shared" ref="BO137" si="366">BM137/BH137</f>
        <v>1.25</v>
      </c>
      <c r="BQ137" s="289"/>
      <c r="BR137" s="18">
        <f t="shared" ref="BR137" si="367">BM137+BQ137</f>
        <v>25000</v>
      </c>
      <c r="BT137" s="289"/>
      <c r="BU137" s="18">
        <f>BR137+BT137</f>
        <v>25000</v>
      </c>
      <c r="BW137" s="289"/>
      <c r="BX137" s="18">
        <f>BU137+BW137</f>
        <v>25000</v>
      </c>
      <c r="BZ137" s="289"/>
      <c r="CA137" s="18">
        <f>BX137+BZ137</f>
        <v>25000</v>
      </c>
      <c r="CC137" s="289"/>
      <c r="CD137" s="18">
        <f>CA137+CC137</f>
        <v>25000</v>
      </c>
      <c r="CF137" s="289"/>
      <c r="CG137" s="18">
        <f>CD137+CF137</f>
        <v>25000</v>
      </c>
      <c r="CI137" s="289"/>
      <c r="CJ137" s="18">
        <f>CG137+CI137</f>
        <v>25000</v>
      </c>
      <c r="CM137" s="18">
        <f>CJ137+CL137</f>
        <v>25000</v>
      </c>
      <c r="CO137" s="327">
        <v>2000</v>
      </c>
      <c r="CP137" s="18">
        <f>CM137+CO137</f>
        <v>27000</v>
      </c>
      <c r="CR137" s="327"/>
      <c r="CS137" s="18">
        <f>CP137+CR137</f>
        <v>27000</v>
      </c>
      <c r="CU137" s="349">
        <v>1500</v>
      </c>
      <c r="CV137" s="18">
        <f>CS137+CU137</f>
        <v>28500</v>
      </c>
      <c r="CX137" s="349"/>
      <c r="CY137" s="18">
        <f>CV137+CX137</f>
        <v>28500</v>
      </c>
      <c r="DA137" s="327">
        <v>28300.639999999999</v>
      </c>
      <c r="DC137" s="327">
        <v>35000</v>
      </c>
    </row>
    <row r="138" spans="1:107" outlineLevel="1">
      <c r="A138" s="64" t="s">
        <v>183</v>
      </c>
      <c r="B138" s="64" t="s">
        <v>201</v>
      </c>
      <c r="C138" s="4" t="s">
        <v>202</v>
      </c>
      <c r="D138" s="52"/>
      <c r="E138" s="37"/>
      <c r="F138" s="52"/>
      <c r="G138" s="37"/>
      <c r="H138" s="56"/>
      <c r="I138" s="40"/>
      <c r="J138" s="17"/>
      <c r="L138" s="134">
        <f>'[1]2020'!$Q$60</f>
        <v>100000</v>
      </c>
      <c r="M138" s="20" t="e">
        <f>L138/F138-1</f>
        <v>#DIV/0!</v>
      </c>
      <c r="N138" s="20" t="e">
        <f>L138/I138-1</f>
        <v>#DIV/0!</v>
      </c>
      <c r="Q138" s="134">
        <v>100000</v>
      </c>
      <c r="R138" s="18">
        <v>0</v>
      </c>
      <c r="S138" s="134">
        <v>0</v>
      </c>
      <c r="T138" s="18">
        <f>S138-Q138</f>
        <v>-100000</v>
      </c>
      <c r="U138" s="19">
        <f>S138/Q138-1</f>
        <v>-1</v>
      </c>
      <c r="Y138" s="134">
        <v>0</v>
      </c>
      <c r="AA138" s="134">
        <v>0</v>
      </c>
      <c r="AB138" s="216">
        <f t="shared" si="355"/>
        <v>0</v>
      </c>
      <c r="AE138" s="134">
        <v>0</v>
      </c>
      <c r="AF138" s="213"/>
      <c r="AH138" s="18">
        <v>0</v>
      </c>
      <c r="AK138" s="134">
        <f>'[3]2020'!$AM$60+700</f>
        <v>24700</v>
      </c>
      <c r="AS138" s="18">
        <f t="shared" si="358"/>
        <v>24700</v>
      </c>
      <c r="AV138" s="18">
        <f t="shared" si="359"/>
        <v>24700</v>
      </c>
      <c r="AX138" s="18"/>
      <c r="AY138" s="18">
        <f t="shared" si="360"/>
        <v>24700</v>
      </c>
      <c r="BB138" s="18">
        <f t="shared" si="361"/>
        <v>24700</v>
      </c>
      <c r="BD138" s="18">
        <v>-24700</v>
      </c>
      <c r="BE138" s="18">
        <f t="shared" si="362"/>
        <v>0</v>
      </c>
      <c r="BG138" s="18"/>
      <c r="BH138" s="18">
        <f t="shared" si="363"/>
        <v>0</v>
      </c>
      <c r="BM138" s="289"/>
      <c r="BN138" s="279" t="e">
        <f t="shared" ref="BN138" si="368">BM138/BJ138</f>
        <v>#DIV/0!</v>
      </c>
      <c r="BO138" s="279" t="e">
        <f t="shared" ref="BO138" si="369">BM138/BH138</f>
        <v>#DIV/0!</v>
      </c>
      <c r="BQ138" s="289"/>
      <c r="BR138" s="289"/>
      <c r="BT138" s="289"/>
      <c r="BU138" s="289"/>
      <c r="BW138" s="289"/>
      <c r="BX138" s="289"/>
      <c r="BZ138" s="289"/>
      <c r="CA138" s="289"/>
      <c r="CC138" s="289"/>
      <c r="CD138" s="289"/>
      <c r="CF138" s="289"/>
      <c r="CG138" s="289"/>
      <c r="CI138" s="289"/>
      <c r="CJ138" s="289"/>
      <c r="CM138" s="289"/>
      <c r="CO138" s="327"/>
      <c r="CP138" s="289"/>
      <c r="CR138" s="327"/>
      <c r="CS138" s="289"/>
      <c r="CU138" s="327"/>
      <c r="CV138" s="289"/>
      <c r="CX138" s="327"/>
      <c r="CY138" s="289"/>
      <c r="DA138" s="327"/>
      <c r="DC138" s="327"/>
    </row>
    <row r="139" spans="1:107" outlineLevel="1">
      <c r="A139" s="14" t="s">
        <v>183</v>
      </c>
      <c r="B139" s="4" t="s">
        <v>46</v>
      </c>
      <c r="C139" s="4" t="s">
        <v>184</v>
      </c>
      <c r="D139" s="52">
        <v>1000</v>
      </c>
      <c r="E139" s="37">
        <v>1136.46</v>
      </c>
      <c r="F139" s="52">
        <v>30000</v>
      </c>
      <c r="G139" s="37">
        <v>37.880000000000003</v>
      </c>
      <c r="H139" s="56">
        <v>11364.6</v>
      </c>
      <c r="I139" s="40"/>
      <c r="J139" s="17"/>
      <c r="Y139" s="134"/>
      <c r="AF139" s="213"/>
      <c r="AH139" s="18"/>
      <c r="AX139" s="18"/>
      <c r="BD139" s="18"/>
      <c r="BG139" s="18"/>
      <c r="CR139" s="327"/>
      <c r="CU139" s="327"/>
      <c r="CX139" s="327"/>
      <c r="DA139" s="327"/>
      <c r="DC139" s="327"/>
    </row>
    <row r="140" spans="1:107" outlineLevel="1">
      <c r="A140" s="14" t="s">
        <v>71</v>
      </c>
      <c r="B140" s="4" t="s">
        <v>48</v>
      </c>
      <c r="C140" s="4" t="s">
        <v>72</v>
      </c>
      <c r="D140" s="52">
        <v>198000</v>
      </c>
      <c r="E140" s="37">
        <v>105.79</v>
      </c>
      <c r="F140" s="52">
        <v>277000</v>
      </c>
      <c r="G140" s="37">
        <v>75.62</v>
      </c>
      <c r="H140" s="56">
        <v>209465.67</v>
      </c>
      <c r="I140" s="40"/>
      <c r="J140" s="17"/>
      <c r="Y140" s="134"/>
      <c r="AF140" s="213"/>
      <c r="AH140" s="18"/>
      <c r="AX140" s="18"/>
      <c r="BD140" s="18"/>
      <c r="BG140" s="18"/>
    </row>
    <row r="141" spans="1:107" ht="15.75" thickBot="1">
      <c r="A141" s="70" t="s">
        <v>183</v>
      </c>
      <c r="B141" s="71" t="s">
        <v>320</v>
      </c>
      <c r="C141" s="72" t="s">
        <v>345</v>
      </c>
      <c r="D141" s="73">
        <f>D133+D135+D137</f>
        <v>198000</v>
      </c>
      <c r="E141" s="74"/>
      <c r="F141" s="73">
        <f>F133+F135+F137</f>
        <v>277000</v>
      </c>
      <c r="G141" s="74"/>
      <c r="H141" s="73"/>
      <c r="I141" s="73">
        <f>I133+I135+I137</f>
        <v>277000</v>
      </c>
      <c r="J141" s="156" t="e">
        <f>I141/$I$304</f>
        <v>#REF!</v>
      </c>
      <c r="K141" s="76"/>
      <c r="L141" s="138">
        <f>L133+L135+L137</f>
        <v>300000</v>
      </c>
      <c r="M141" s="77">
        <f t="shared" ref="M141:M160" si="370">L141/F141-1</f>
        <v>8.3032490974729312E-2</v>
      </c>
      <c r="N141" s="77">
        <f t="shared" ref="N141:N160" si="371">L141/I141-1</f>
        <v>8.3032490974729312E-2</v>
      </c>
      <c r="O141" s="20">
        <f>L141/$L$304</f>
        <v>6.9605569737458378E-2</v>
      </c>
      <c r="P141" s="20"/>
      <c r="Q141" s="138">
        <f>Q133+Q135+Q137</f>
        <v>300000</v>
      </c>
      <c r="R141" s="138">
        <f>R133+R135+R137</f>
        <v>141828</v>
      </c>
      <c r="S141" s="138">
        <f>S133+S135+S137</f>
        <v>286000</v>
      </c>
      <c r="T141" s="138">
        <f>T133+T135+T137</f>
        <v>-14000</v>
      </c>
      <c r="U141" s="175">
        <f>S141/Q141-1</f>
        <v>-4.6666666666666634E-2</v>
      </c>
      <c r="Y141" s="138">
        <f>Y133+Y135+Y137</f>
        <v>286000</v>
      </c>
      <c r="AA141" s="138">
        <f>AA133+AA135+AA137</f>
        <v>293500</v>
      </c>
      <c r="AB141" s="138">
        <f>AB133+AB135+AB137</f>
        <v>7500</v>
      </c>
      <c r="AE141" s="138">
        <f>AE133+AE135+AE137</f>
        <v>293500</v>
      </c>
      <c r="AF141" s="213"/>
      <c r="AH141" s="138">
        <f>AH133+AH135+AH137</f>
        <v>264179.46999999997</v>
      </c>
      <c r="AI141" s="20">
        <f t="shared" ref="AI141" si="372">AH141/AE141</f>
        <v>0.90010040885860298</v>
      </c>
      <c r="AK141" s="138">
        <f>AK133+AK135+AK137</f>
        <v>280500</v>
      </c>
      <c r="AL141" s="229">
        <f t="shared" ref="AL141:AL142" si="373">AK141/L141</f>
        <v>0.93500000000000005</v>
      </c>
      <c r="AM141" s="20">
        <f>AK141/AE141</f>
        <v>0.95570698466780235</v>
      </c>
      <c r="AN141" s="20">
        <f>AK141/AH141</f>
        <v>1.0617781919238465</v>
      </c>
      <c r="AS141" s="138">
        <f>AS133+AS135+AS137</f>
        <v>280500</v>
      </c>
      <c r="AU141" s="138">
        <f>AU133+AU135+AU137</f>
        <v>0</v>
      </c>
      <c r="AV141" s="138">
        <f>AV133+AV135+AV137</f>
        <v>280500</v>
      </c>
      <c r="AX141" s="138">
        <f>AX133+AX135+AX137</f>
        <v>0</v>
      </c>
      <c r="AY141" s="138">
        <f>AY133+AY135+AY137</f>
        <v>280500</v>
      </c>
      <c r="BA141" s="138">
        <f>BA133+BA135+BA137</f>
        <v>0</v>
      </c>
      <c r="BB141" s="138">
        <f>BB133+BB135+BB137</f>
        <v>280500</v>
      </c>
      <c r="BD141" s="138">
        <f>BD133+BD135+BD137</f>
        <v>-33000</v>
      </c>
      <c r="BE141" s="138">
        <f>BE133+BE135+BE137</f>
        <v>247500</v>
      </c>
      <c r="BG141" s="138">
        <f>BG133+BG135+BG137</f>
        <v>2500</v>
      </c>
      <c r="BH141" s="138">
        <f>BH133+BH135+BH137</f>
        <v>250000</v>
      </c>
      <c r="BJ141" s="138">
        <f>BJ133+BJ135+BJ137</f>
        <v>246616.06</v>
      </c>
      <c r="BK141" s="280">
        <f t="shared" ref="BK141:BK142" si="374">BJ141/BH141</f>
        <v>0.98646423999999999</v>
      </c>
      <c r="BM141" s="138">
        <f>BM133+BM135+BM137</f>
        <v>338000</v>
      </c>
      <c r="BN141" s="280">
        <f t="shared" ref="BN141:BN142" si="375">BM141/BJ141</f>
        <v>1.3705514555702496</v>
      </c>
      <c r="BO141" s="280">
        <f t="shared" ref="BO141:BO142" si="376">BM141/BH141</f>
        <v>1.3520000000000001</v>
      </c>
      <c r="BQ141" s="138">
        <f>BQ133+BQ135+BQ137</f>
        <v>0</v>
      </c>
      <c r="BR141" s="138">
        <f>BR133+BR135+BR137</f>
        <v>338000</v>
      </c>
      <c r="BT141" s="138">
        <f>BT133+BT135+BT137</f>
        <v>0</v>
      </c>
      <c r="BU141" s="138">
        <f>BU133+BU135+BU137</f>
        <v>338000</v>
      </c>
      <c r="BW141" s="138">
        <f>BW133+BW135+BW137</f>
        <v>0</v>
      </c>
      <c r="BX141" s="138">
        <f>BX133+BX135+BX137</f>
        <v>338000</v>
      </c>
      <c r="BZ141" s="138">
        <f>BZ133+BZ135+BZ137</f>
        <v>0</v>
      </c>
      <c r="CA141" s="138">
        <f>CA133+CA135+CA137</f>
        <v>338000</v>
      </c>
      <c r="CC141" s="138">
        <f>CC133+CC135+CC137</f>
        <v>0</v>
      </c>
      <c r="CD141" s="138">
        <f>CD133+CD135+CD137</f>
        <v>338000</v>
      </c>
      <c r="CF141" s="138">
        <f>CF133+CF135+CF137</f>
        <v>0</v>
      </c>
      <c r="CG141" s="138">
        <f>CG133+CG135+CG137</f>
        <v>338000</v>
      </c>
      <c r="CI141" s="138">
        <f>CI133+CI135+CI137</f>
        <v>0</v>
      </c>
      <c r="CJ141" s="138">
        <f>CJ133+CJ135+CJ137</f>
        <v>338000</v>
      </c>
      <c r="CL141" s="391">
        <f>CL133+CL135+CL137</f>
        <v>0</v>
      </c>
      <c r="CM141" s="138">
        <f>CM133+CM135+CM137</f>
        <v>338000</v>
      </c>
      <c r="CO141" s="138">
        <f>CO133+CO135+CO137</f>
        <v>35000</v>
      </c>
      <c r="CP141" s="138">
        <f>CP133+CP135+CP137</f>
        <v>373000</v>
      </c>
      <c r="CR141" s="138">
        <f>CR133+CR135+CR137</f>
        <v>0</v>
      </c>
      <c r="CS141" s="138">
        <f>CS133+CS135+CS137</f>
        <v>373000</v>
      </c>
      <c r="CU141" s="138">
        <f>CU133+CU135+CU137</f>
        <v>1500</v>
      </c>
      <c r="CV141" s="138">
        <f>CV133+CV135+CV137</f>
        <v>374500</v>
      </c>
      <c r="CX141" s="138">
        <f>CX133+CX135+CX137</f>
        <v>0</v>
      </c>
      <c r="CY141" s="138">
        <f>CY133+CY135+CY137</f>
        <v>374500</v>
      </c>
      <c r="DA141" s="138">
        <f>DA133+DA135+DA137</f>
        <v>372449.01</v>
      </c>
      <c r="DC141" s="138">
        <f>DC133+DC135+DC137</f>
        <v>439000</v>
      </c>
    </row>
    <row r="142" spans="1:107" ht="16.5" thickTop="1" thickBot="1">
      <c r="A142" s="91" t="s">
        <v>183</v>
      </c>
      <c r="B142" s="92" t="s">
        <v>281</v>
      </c>
      <c r="C142" s="340" t="s">
        <v>351</v>
      </c>
      <c r="D142" s="94">
        <f>D138</f>
        <v>0</v>
      </c>
      <c r="E142" s="95"/>
      <c r="F142" s="94">
        <f>F138</f>
        <v>0</v>
      </c>
      <c r="G142" s="95"/>
      <c r="H142" s="94"/>
      <c r="I142" s="94">
        <f>I138</f>
        <v>0</v>
      </c>
      <c r="J142" s="96"/>
      <c r="K142" s="93"/>
      <c r="L142" s="140">
        <f>L138</f>
        <v>100000</v>
      </c>
      <c r="M142" s="97" t="e">
        <f t="shared" si="370"/>
        <v>#DIV/0!</v>
      </c>
      <c r="N142" s="97" t="e">
        <f t="shared" si="371"/>
        <v>#DIV/0!</v>
      </c>
      <c r="Q142" s="140">
        <f>Q138</f>
        <v>100000</v>
      </c>
      <c r="R142" s="140">
        <f>R138</f>
        <v>0</v>
      </c>
      <c r="S142" s="140">
        <f>S138</f>
        <v>0</v>
      </c>
      <c r="T142" s="140">
        <f>T138</f>
        <v>-100000</v>
      </c>
      <c r="U142" s="176">
        <f>S142/Q142-1</f>
        <v>-1</v>
      </c>
      <c r="Y142" s="140">
        <f>Y138</f>
        <v>0</v>
      </c>
      <c r="AA142" s="140">
        <f>AA138</f>
        <v>0</v>
      </c>
      <c r="AB142" s="140">
        <f>AB138</f>
        <v>0</v>
      </c>
      <c r="AE142" s="140">
        <f>AE138</f>
        <v>0</v>
      </c>
      <c r="AF142" s="213"/>
      <c r="AH142" s="140">
        <f>AH138</f>
        <v>0</v>
      </c>
      <c r="AK142" s="140">
        <f>AK138</f>
        <v>24700</v>
      </c>
      <c r="AL142" s="229">
        <f t="shared" si="373"/>
        <v>0.247</v>
      </c>
      <c r="AM142" s="20" t="e">
        <f>AK142/AE142</f>
        <v>#DIV/0!</v>
      </c>
      <c r="AN142" s="20" t="e">
        <f>AK142/AH142</f>
        <v>#DIV/0!</v>
      </c>
      <c r="AS142" s="140">
        <f>AS138</f>
        <v>24700</v>
      </c>
      <c r="AU142" s="140">
        <f>AU138</f>
        <v>0</v>
      </c>
      <c r="AV142" s="140">
        <f>AV138</f>
        <v>24700</v>
      </c>
      <c r="AX142" s="140">
        <f>AX138</f>
        <v>0</v>
      </c>
      <c r="AY142" s="140">
        <f>AY138</f>
        <v>24700</v>
      </c>
      <c r="BA142" s="140">
        <f>BA138</f>
        <v>0</v>
      </c>
      <c r="BB142" s="140">
        <f>BB138</f>
        <v>24700</v>
      </c>
      <c r="BD142" s="140">
        <f>BD138</f>
        <v>-24700</v>
      </c>
      <c r="BE142" s="140">
        <f>BE138</f>
        <v>0</v>
      </c>
      <c r="BG142" s="140">
        <f>BG138</f>
        <v>0</v>
      </c>
      <c r="BH142" s="140">
        <f>BH138</f>
        <v>0</v>
      </c>
      <c r="BJ142" s="140">
        <f>BJ138</f>
        <v>0</v>
      </c>
      <c r="BK142" s="281" t="e">
        <f t="shared" si="374"/>
        <v>#DIV/0!</v>
      </c>
      <c r="BM142" s="140">
        <f>BM138</f>
        <v>0</v>
      </c>
      <c r="BN142" s="281" t="e">
        <f t="shared" si="375"/>
        <v>#DIV/0!</v>
      </c>
      <c r="BO142" s="281" t="e">
        <f t="shared" si="376"/>
        <v>#DIV/0!</v>
      </c>
      <c r="BQ142" s="140">
        <f>BQ138</f>
        <v>0</v>
      </c>
      <c r="BR142" s="140">
        <f>BR138</f>
        <v>0</v>
      </c>
      <c r="BT142" s="140">
        <f>BT138</f>
        <v>0</v>
      </c>
      <c r="BU142" s="140">
        <f>BU138</f>
        <v>0</v>
      </c>
      <c r="BW142" s="140">
        <f>BW138</f>
        <v>0</v>
      </c>
      <c r="BX142" s="140">
        <f>BX138</f>
        <v>0</v>
      </c>
      <c r="BZ142" s="140">
        <f>BZ138</f>
        <v>0</v>
      </c>
      <c r="CA142" s="140">
        <f>CA138</f>
        <v>0</v>
      </c>
      <c r="CC142" s="140">
        <f>CC138</f>
        <v>0</v>
      </c>
      <c r="CD142" s="140">
        <f>CD138</f>
        <v>0</v>
      </c>
      <c r="CF142" s="140">
        <f>CF138</f>
        <v>0</v>
      </c>
      <c r="CG142" s="140">
        <f>CG138</f>
        <v>0</v>
      </c>
      <c r="CI142" s="140">
        <f>CI138</f>
        <v>0</v>
      </c>
      <c r="CJ142" s="140">
        <f>CJ138</f>
        <v>0</v>
      </c>
      <c r="CL142" s="391">
        <f>CL138</f>
        <v>0</v>
      </c>
      <c r="CM142" s="140">
        <f>CM138</f>
        <v>0</v>
      </c>
      <c r="CO142" s="140">
        <f>CO138</f>
        <v>0</v>
      </c>
      <c r="CP142" s="140">
        <f>CP138</f>
        <v>0</v>
      </c>
      <c r="CR142" s="140">
        <f>CR138</f>
        <v>0</v>
      </c>
      <c r="CS142" s="140">
        <f>CS138</f>
        <v>0</v>
      </c>
      <c r="CU142" s="140">
        <f>CU138</f>
        <v>0</v>
      </c>
      <c r="CV142" s="140">
        <f>CV138</f>
        <v>0</v>
      </c>
      <c r="CX142" s="140">
        <f>CX138</f>
        <v>0</v>
      </c>
      <c r="CY142" s="140">
        <f>CY138</f>
        <v>0</v>
      </c>
      <c r="DA142" s="140">
        <f>DA138</f>
        <v>0</v>
      </c>
      <c r="DC142" s="140">
        <f>DC138</f>
        <v>0</v>
      </c>
    </row>
    <row r="143" spans="1:107" ht="15.75" outlineLevel="1" thickTop="1">
      <c r="A143" s="14" t="s">
        <v>73</v>
      </c>
      <c r="B143" s="14" t="s">
        <v>185</v>
      </c>
      <c r="C143" s="4" t="s">
        <v>186</v>
      </c>
      <c r="D143" s="52">
        <v>300000</v>
      </c>
      <c r="E143" s="37">
        <v>56.24</v>
      </c>
      <c r="F143" s="52">
        <v>300000</v>
      </c>
      <c r="G143" s="37">
        <v>56.24</v>
      </c>
      <c r="H143" s="56">
        <v>168730</v>
      </c>
      <c r="I143" s="40">
        <f>H143+2*'[2]2020'!$C$20+5000</f>
        <v>177730</v>
      </c>
      <c r="J143" s="17"/>
      <c r="K143" t="s">
        <v>336</v>
      </c>
      <c r="L143" s="134">
        <f>12*'[2]2020'!$D$21+10000+758</f>
        <v>204000.00000000003</v>
      </c>
      <c r="M143" s="20">
        <f t="shared" si="370"/>
        <v>-0.31999999999999995</v>
      </c>
      <c r="N143" s="20">
        <f t="shared" si="371"/>
        <v>0.14780847352726068</v>
      </c>
      <c r="Q143" s="134">
        <v>203000</v>
      </c>
      <c r="R143" s="18">
        <v>103806</v>
      </c>
      <c r="S143" s="134">
        <v>240000</v>
      </c>
      <c r="T143" s="18">
        <f t="shared" ref="T143:T160" si="377">S143-Q143</f>
        <v>37000</v>
      </c>
      <c r="U143" s="19">
        <f t="shared" ref="U143:U160" si="378">S143/Q143-1</f>
        <v>0.18226600985221686</v>
      </c>
      <c r="V143" s="159">
        <v>203000</v>
      </c>
      <c r="W143">
        <v>-1000</v>
      </c>
      <c r="Y143" s="134">
        <v>240000</v>
      </c>
      <c r="AA143" s="134">
        <v>300000</v>
      </c>
      <c r="AB143" s="216">
        <f t="shared" ref="AB143:AB160" si="379">AA143-Y143</f>
        <v>60000</v>
      </c>
      <c r="AC143" s="219">
        <f t="shared" ref="AC143:AC154" si="380">AA143-Y143</f>
        <v>60000</v>
      </c>
      <c r="AD143" s="219"/>
      <c r="AE143" s="134">
        <v>300000</v>
      </c>
      <c r="AF143" s="213"/>
      <c r="AH143" s="18">
        <v>279010</v>
      </c>
      <c r="AI143" s="20">
        <f t="shared" ref="AI143:AI160" si="381">AH143/AE143</f>
        <v>0.93003333333333338</v>
      </c>
      <c r="AK143" s="134">
        <v>300000</v>
      </c>
      <c r="AS143" s="18">
        <f t="shared" ref="AS143:AS160" si="382">AR143+AK143</f>
        <v>300000</v>
      </c>
      <c r="AV143" s="18">
        <f t="shared" ref="AV143:AV160" si="383">AS143+AU143</f>
        <v>300000</v>
      </c>
      <c r="AX143" s="18"/>
      <c r="AY143" s="18">
        <f t="shared" ref="AY143:AY160" si="384">AV143+AX143</f>
        <v>300000</v>
      </c>
      <c r="BB143" s="18">
        <f t="shared" ref="BB143:BB160" si="385">AY143+BA143</f>
        <v>300000</v>
      </c>
      <c r="BD143" s="18">
        <v>40000</v>
      </c>
      <c r="BE143" s="18">
        <f t="shared" ref="BE143:BE160" si="386">BB143+BD143</f>
        <v>340000</v>
      </c>
      <c r="BG143" s="18"/>
      <c r="BH143" s="18">
        <f t="shared" ref="BH143:BH160" si="387">BE143+BG143</f>
        <v>340000</v>
      </c>
      <c r="BJ143" s="18">
        <v>319485</v>
      </c>
      <c r="BK143" s="279">
        <f t="shared" ref="BK143:BK160" si="388">BJ143/BH143</f>
        <v>0.93966176470588236</v>
      </c>
      <c r="BM143" s="289">
        <v>350000</v>
      </c>
      <c r="BN143" s="279">
        <f t="shared" ref="BN143:BN160" si="389">BM143/BJ143</f>
        <v>1.0955130913814419</v>
      </c>
      <c r="BO143" s="279">
        <f>BM143/BH143</f>
        <v>1.0294117647058822</v>
      </c>
      <c r="BQ143" s="289"/>
      <c r="BR143" s="18">
        <f t="shared" ref="BR143:BR158" si="390">BM143+BQ143</f>
        <v>350000</v>
      </c>
      <c r="BT143" s="289"/>
      <c r="BU143" s="18">
        <f t="shared" ref="BU143:BU160" si="391">BR143+BT143</f>
        <v>350000</v>
      </c>
      <c r="BW143" s="289"/>
      <c r="BX143" s="18">
        <f t="shared" ref="BX143:BX160" si="392">BU143+BW143</f>
        <v>350000</v>
      </c>
      <c r="BZ143" s="289"/>
      <c r="CA143" s="18">
        <f t="shared" ref="CA143:CA160" si="393">BX143+BZ143</f>
        <v>350000</v>
      </c>
      <c r="CC143" s="289"/>
      <c r="CD143" s="18">
        <f t="shared" ref="CD143:CD160" si="394">CA143+CC143</f>
        <v>350000</v>
      </c>
      <c r="CF143" s="289"/>
      <c r="CG143" s="18">
        <f t="shared" ref="CG143:CG161" si="395">CD143+CF143</f>
        <v>350000</v>
      </c>
      <c r="CI143" s="289"/>
      <c r="CJ143" s="18">
        <f t="shared" ref="CJ143:CJ161" si="396">CG143+CI143</f>
        <v>350000</v>
      </c>
      <c r="CL143" s="327">
        <v>-80000</v>
      </c>
      <c r="CM143" s="18">
        <f t="shared" ref="CM143:CM161" si="397">CJ143+CL143</f>
        <v>270000</v>
      </c>
      <c r="CO143" s="327">
        <v>45000</v>
      </c>
      <c r="CP143" s="18">
        <f t="shared" ref="CP143:CP161" si="398">CM143+CO143</f>
        <v>315000</v>
      </c>
      <c r="CR143" s="327"/>
      <c r="CS143" s="18">
        <f t="shared" ref="CS143:CS162" si="399">CP143+CR143</f>
        <v>315000</v>
      </c>
      <c r="CU143" s="349">
        <v>12000</v>
      </c>
      <c r="CV143" s="18">
        <f t="shared" ref="CV143:CV162" si="400">CS143+CU143</f>
        <v>327000</v>
      </c>
      <c r="CX143" s="349"/>
      <c r="CY143" s="18">
        <f t="shared" ref="CY143:CY162" si="401">CV143+CX143</f>
        <v>327000</v>
      </c>
      <c r="DA143" s="327">
        <v>326384</v>
      </c>
      <c r="DC143" s="327">
        <v>380000</v>
      </c>
    </row>
    <row r="144" spans="1:107" outlineLevel="1">
      <c r="A144" s="14" t="s">
        <v>73</v>
      </c>
      <c r="B144" s="14" t="s">
        <v>144</v>
      </c>
      <c r="C144" s="4" t="s">
        <v>145</v>
      </c>
      <c r="D144" s="52">
        <v>120000</v>
      </c>
      <c r="E144" s="37">
        <v>87.9</v>
      </c>
      <c r="F144" s="52">
        <v>120000</v>
      </c>
      <c r="G144" s="37">
        <v>87.9</v>
      </c>
      <c r="H144" s="56">
        <v>105484</v>
      </c>
      <c r="I144" s="40">
        <v>106000</v>
      </c>
      <c r="J144" s="17"/>
      <c r="K144" t="s">
        <v>336</v>
      </c>
      <c r="L144" s="134">
        <v>130000</v>
      </c>
      <c r="M144" s="20">
        <f t="shared" si="370"/>
        <v>8.3333333333333259E-2</v>
      </c>
      <c r="N144" s="20">
        <f t="shared" si="371"/>
        <v>0.22641509433962259</v>
      </c>
      <c r="Q144" s="134">
        <v>79581</v>
      </c>
      <c r="R144" s="18">
        <v>30656</v>
      </c>
      <c r="S144" s="134">
        <v>45000</v>
      </c>
      <c r="T144" s="18">
        <f t="shared" si="377"/>
        <v>-34581</v>
      </c>
      <c r="U144" s="19">
        <f t="shared" si="378"/>
        <v>-0.43453839484299017</v>
      </c>
      <c r="V144" s="159">
        <v>120500</v>
      </c>
      <c r="W144">
        <v>-9500</v>
      </c>
      <c r="Y144" s="134">
        <v>45000</v>
      </c>
      <c r="AA144" s="134">
        <v>38000</v>
      </c>
      <c r="AB144" s="216">
        <f t="shared" si="379"/>
        <v>-7000</v>
      </c>
      <c r="AC144" s="219">
        <f t="shared" si="380"/>
        <v>-7000</v>
      </c>
      <c r="AD144" s="219"/>
      <c r="AE144" s="134">
        <v>38000</v>
      </c>
      <c r="AF144" s="213"/>
      <c r="AH144" s="18">
        <v>36776</v>
      </c>
      <c r="AI144" s="20">
        <f t="shared" si="381"/>
        <v>0.96778947368421053</v>
      </c>
      <c r="AK144" s="134">
        <v>50000</v>
      </c>
      <c r="AS144" s="18">
        <f t="shared" si="382"/>
        <v>50000</v>
      </c>
      <c r="AV144" s="18">
        <f t="shared" si="383"/>
        <v>50000</v>
      </c>
      <c r="AX144" s="18"/>
      <c r="AY144" s="18">
        <f t="shared" si="384"/>
        <v>50000</v>
      </c>
      <c r="BB144" s="18">
        <f t="shared" si="385"/>
        <v>50000</v>
      </c>
      <c r="BD144" s="18">
        <v>-10000</v>
      </c>
      <c r="BE144" s="18">
        <f t="shared" si="386"/>
        <v>40000</v>
      </c>
      <c r="BG144" s="18"/>
      <c r="BH144" s="18">
        <f t="shared" si="387"/>
        <v>40000</v>
      </c>
      <c r="BJ144" s="18">
        <v>25789</v>
      </c>
      <c r="BK144" s="279">
        <f t="shared" si="388"/>
        <v>0.64472499999999999</v>
      </c>
      <c r="BM144" s="289">
        <v>60000</v>
      </c>
      <c r="BN144" s="279">
        <f t="shared" si="389"/>
        <v>2.3265733452247082</v>
      </c>
      <c r="BO144" s="279">
        <f t="shared" ref="BO144:BO160" si="402">BM144/BH144</f>
        <v>1.5</v>
      </c>
      <c r="BQ144" s="289"/>
      <c r="BR144" s="18">
        <f t="shared" si="390"/>
        <v>60000</v>
      </c>
      <c r="BT144" s="289"/>
      <c r="BU144" s="18">
        <f t="shared" si="391"/>
        <v>60000</v>
      </c>
      <c r="BW144" s="289"/>
      <c r="BX144" s="18">
        <f t="shared" si="392"/>
        <v>60000</v>
      </c>
      <c r="BZ144" s="289"/>
      <c r="CA144" s="18">
        <f t="shared" si="393"/>
        <v>60000</v>
      </c>
      <c r="CC144" s="289"/>
      <c r="CD144" s="18">
        <f t="shared" si="394"/>
        <v>60000</v>
      </c>
      <c r="CF144" s="289"/>
      <c r="CG144" s="18">
        <f t="shared" si="395"/>
        <v>60000</v>
      </c>
      <c r="CI144" s="289"/>
      <c r="CJ144" s="18">
        <f t="shared" si="396"/>
        <v>60000</v>
      </c>
      <c r="CM144" s="18">
        <f t="shared" si="397"/>
        <v>60000</v>
      </c>
      <c r="CO144" s="327"/>
      <c r="CP144" s="18">
        <f t="shared" si="398"/>
        <v>60000</v>
      </c>
      <c r="CR144" s="327"/>
      <c r="CS144" s="18">
        <f t="shared" si="399"/>
        <v>60000</v>
      </c>
      <c r="CU144" s="349">
        <v>-11500</v>
      </c>
      <c r="CV144" s="18">
        <f t="shared" si="400"/>
        <v>48500</v>
      </c>
      <c r="CX144" s="349"/>
      <c r="CY144" s="18">
        <f t="shared" si="401"/>
        <v>48500</v>
      </c>
      <c r="DA144" s="327">
        <v>48392</v>
      </c>
      <c r="DC144" s="327">
        <v>60000</v>
      </c>
    </row>
    <row r="145" spans="1:107" outlineLevel="1">
      <c r="A145" s="14" t="s">
        <v>73</v>
      </c>
      <c r="B145" s="14" t="s">
        <v>187</v>
      </c>
      <c r="C145" s="4" t="s">
        <v>188</v>
      </c>
      <c r="D145" s="52">
        <v>65000</v>
      </c>
      <c r="E145" s="37">
        <v>60.84</v>
      </c>
      <c r="F145" s="52">
        <v>65000</v>
      </c>
      <c r="G145" s="37">
        <v>60.84</v>
      </c>
      <c r="H145" s="56">
        <v>39544</v>
      </c>
      <c r="I145" s="40">
        <f>H145*1.2</f>
        <v>47452.799999999996</v>
      </c>
      <c r="J145" s="17"/>
      <c r="K145" t="s">
        <v>336</v>
      </c>
      <c r="L145" s="134">
        <v>50000</v>
      </c>
      <c r="M145" s="20">
        <f t="shared" si="370"/>
        <v>-0.23076923076923073</v>
      </c>
      <c r="N145" s="20">
        <f t="shared" si="371"/>
        <v>5.3678602737878611E-2</v>
      </c>
      <c r="Q145" s="134">
        <v>50000</v>
      </c>
      <c r="R145" s="18">
        <v>25195</v>
      </c>
      <c r="S145" s="134">
        <v>58000</v>
      </c>
      <c r="T145" s="18">
        <f t="shared" si="377"/>
        <v>8000</v>
      </c>
      <c r="U145" s="19">
        <f t="shared" si="378"/>
        <v>0.15999999999999992</v>
      </c>
      <c r="Y145" s="134">
        <v>58000</v>
      </c>
      <c r="AA145" s="134">
        <v>70000</v>
      </c>
      <c r="AB145" s="216">
        <f t="shared" si="379"/>
        <v>12000</v>
      </c>
      <c r="AC145" s="219">
        <f t="shared" si="380"/>
        <v>12000</v>
      </c>
      <c r="AD145" s="219"/>
      <c r="AE145" s="134">
        <v>70000</v>
      </c>
      <c r="AF145" s="213"/>
      <c r="AH145" s="18">
        <v>66832</v>
      </c>
      <c r="AI145" s="20">
        <f t="shared" si="381"/>
        <v>0.95474285714285712</v>
      </c>
      <c r="AK145" s="134">
        <v>69000</v>
      </c>
      <c r="AS145" s="18">
        <f t="shared" si="382"/>
        <v>69000</v>
      </c>
      <c r="AV145" s="18">
        <f t="shared" si="383"/>
        <v>69000</v>
      </c>
      <c r="AX145" s="18"/>
      <c r="AY145" s="18">
        <f t="shared" si="384"/>
        <v>69000</v>
      </c>
      <c r="BB145" s="18">
        <f t="shared" si="385"/>
        <v>69000</v>
      </c>
      <c r="BD145" s="18">
        <v>10000</v>
      </c>
      <c r="BE145" s="18">
        <f t="shared" si="386"/>
        <v>79000</v>
      </c>
      <c r="BG145" s="18"/>
      <c r="BH145" s="18">
        <f t="shared" si="387"/>
        <v>79000</v>
      </c>
      <c r="BJ145" s="18">
        <v>78258</v>
      </c>
      <c r="BK145" s="279">
        <f t="shared" si="388"/>
        <v>0.99060759493670891</v>
      </c>
      <c r="BM145" s="289">
        <f>BM143*0.245</f>
        <v>85750</v>
      </c>
      <c r="BN145" s="279">
        <f t="shared" si="389"/>
        <v>1.0957346213805617</v>
      </c>
      <c r="BO145" s="279">
        <f t="shared" si="402"/>
        <v>1.0854430379746836</v>
      </c>
      <c r="BQ145" s="289"/>
      <c r="BR145" s="18">
        <f t="shared" si="390"/>
        <v>85750</v>
      </c>
      <c r="BT145" s="289"/>
      <c r="BU145" s="18">
        <f t="shared" si="391"/>
        <v>85750</v>
      </c>
      <c r="BW145" s="289"/>
      <c r="BX145" s="18">
        <f t="shared" si="392"/>
        <v>85750</v>
      </c>
      <c r="BZ145" s="289"/>
      <c r="CA145" s="18">
        <f t="shared" si="393"/>
        <v>85750</v>
      </c>
      <c r="CC145" s="289"/>
      <c r="CD145" s="18">
        <f t="shared" si="394"/>
        <v>85750</v>
      </c>
      <c r="CF145" s="289"/>
      <c r="CG145" s="18">
        <f t="shared" si="395"/>
        <v>85750</v>
      </c>
      <c r="CI145" s="289"/>
      <c r="CJ145" s="18">
        <f t="shared" si="396"/>
        <v>85750</v>
      </c>
      <c r="CM145" s="18">
        <f t="shared" si="397"/>
        <v>85750</v>
      </c>
      <c r="CO145" s="327"/>
      <c r="CP145" s="18">
        <f t="shared" si="398"/>
        <v>85750</v>
      </c>
      <c r="CR145" s="327"/>
      <c r="CS145" s="18">
        <f t="shared" si="399"/>
        <v>85750</v>
      </c>
      <c r="CU145" s="349">
        <v>-3750</v>
      </c>
      <c r="CV145" s="18">
        <f t="shared" si="400"/>
        <v>82000</v>
      </c>
      <c r="CX145" s="349"/>
      <c r="CY145" s="18">
        <f t="shared" si="401"/>
        <v>82000</v>
      </c>
      <c r="DA145" s="327">
        <v>81593</v>
      </c>
      <c r="DC145" s="327">
        <f>DC143*0.25</f>
        <v>95000</v>
      </c>
    </row>
    <row r="146" spans="1:107" outlineLevel="1">
      <c r="A146" s="14" t="s">
        <v>73</v>
      </c>
      <c r="B146" s="14" t="s">
        <v>189</v>
      </c>
      <c r="C146" s="4" t="s">
        <v>190</v>
      </c>
      <c r="D146" s="52">
        <v>25000</v>
      </c>
      <c r="E146" s="37">
        <v>67.08</v>
      </c>
      <c r="F146" s="52">
        <v>25000</v>
      </c>
      <c r="G146" s="37">
        <v>67.08</v>
      </c>
      <c r="H146" s="56">
        <v>16770</v>
      </c>
      <c r="I146" s="40">
        <f>H146*1.2</f>
        <v>20124</v>
      </c>
      <c r="J146" s="17"/>
      <c r="K146" t="s">
        <v>336</v>
      </c>
      <c r="L146" s="134">
        <v>25000</v>
      </c>
      <c r="M146" s="20">
        <f t="shared" si="370"/>
        <v>0</v>
      </c>
      <c r="N146" s="20">
        <f t="shared" si="371"/>
        <v>0.242297753925661</v>
      </c>
      <c r="Q146" s="134">
        <v>25000</v>
      </c>
      <c r="R146" s="18">
        <v>9165</v>
      </c>
      <c r="S146" s="134">
        <v>22000</v>
      </c>
      <c r="T146" s="18">
        <f t="shared" si="377"/>
        <v>-3000</v>
      </c>
      <c r="U146" s="19">
        <f t="shared" si="378"/>
        <v>-0.12</v>
      </c>
      <c r="Y146" s="134">
        <v>22000</v>
      </c>
      <c r="AA146" s="134">
        <v>27000</v>
      </c>
      <c r="AB146" s="216">
        <f t="shared" si="379"/>
        <v>5000</v>
      </c>
      <c r="AC146" s="219">
        <f t="shared" si="380"/>
        <v>5000</v>
      </c>
      <c r="AD146" s="219"/>
      <c r="AE146" s="134">
        <v>27000</v>
      </c>
      <c r="AF146" s="213"/>
      <c r="AH146" s="18">
        <v>24513</v>
      </c>
      <c r="AI146" s="20">
        <f t="shared" si="381"/>
        <v>0.90788888888888886</v>
      </c>
      <c r="AK146" s="134">
        <v>27000</v>
      </c>
      <c r="AS146" s="18">
        <f t="shared" si="382"/>
        <v>27000</v>
      </c>
      <c r="AV146" s="18">
        <f t="shared" si="383"/>
        <v>27000</v>
      </c>
      <c r="AX146" s="18"/>
      <c r="AY146" s="18">
        <f t="shared" si="384"/>
        <v>27000</v>
      </c>
      <c r="BB146" s="18">
        <f t="shared" si="385"/>
        <v>27000</v>
      </c>
      <c r="BD146" s="18">
        <v>5000</v>
      </c>
      <c r="BE146" s="18">
        <f t="shared" si="386"/>
        <v>32000</v>
      </c>
      <c r="BG146" s="18"/>
      <c r="BH146" s="18">
        <f t="shared" si="387"/>
        <v>32000</v>
      </c>
      <c r="BJ146" s="18">
        <v>28596</v>
      </c>
      <c r="BK146" s="279">
        <f t="shared" si="388"/>
        <v>0.893625</v>
      </c>
      <c r="BM146" s="289">
        <f>BM143*0.09</f>
        <v>31500</v>
      </c>
      <c r="BN146" s="279">
        <f t="shared" si="389"/>
        <v>1.1015526647083509</v>
      </c>
      <c r="BO146" s="279">
        <f t="shared" si="402"/>
        <v>0.984375</v>
      </c>
      <c r="BQ146" s="289"/>
      <c r="BR146" s="18">
        <f t="shared" si="390"/>
        <v>31500</v>
      </c>
      <c r="BT146" s="289"/>
      <c r="BU146" s="18">
        <f t="shared" si="391"/>
        <v>31500</v>
      </c>
      <c r="BW146" s="289"/>
      <c r="BX146" s="18">
        <f t="shared" si="392"/>
        <v>31500</v>
      </c>
      <c r="BZ146" s="289"/>
      <c r="CA146" s="18">
        <f t="shared" si="393"/>
        <v>31500</v>
      </c>
      <c r="CC146" s="289"/>
      <c r="CD146" s="18">
        <f t="shared" si="394"/>
        <v>31500</v>
      </c>
      <c r="CF146" s="289"/>
      <c r="CG146" s="18">
        <f t="shared" si="395"/>
        <v>31500</v>
      </c>
      <c r="CI146" s="289"/>
      <c r="CJ146" s="18">
        <f t="shared" si="396"/>
        <v>31500</v>
      </c>
      <c r="CM146" s="18">
        <f t="shared" si="397"/>
        <v>31500</v>
      </c>
      <c r="CO146" s="327"/>
      <c r="CP146" s="18">
        <f t="shared" si="398"/>
        <v>31500</v>
      </c>
      <c r="CR146" s="327"/>
      <c r="CS146" s="18">
        <f t="shared" si="399"/>
        <v>31500</v>
      </c>
      <c r="CU146" s="349">
        <v>-1500</v>
      </c>
      <c r="CV146" s="18">
        <f t="shared" si="400"/>
        <v>30000</v>
      </c>
      <c r="CX146" s="349"/>
      <c r="CY146" s="18">
        <f t="shared" si="401"/>
        <v>30000</v>
      </c>
      <c r="DA146" s="327">
        <v>29826</v>
      </c>
      <c r="DC146" s="327">
        <f>DC143*0.1</f>
        <v>38000</v>
      </c>
    </row>
    <row r="147" spans="1:107" outlineLevel="1">
      <c r="A147" s="14" t="s">
        <v>73</v>
      </c>
      <c r="B147" s="14" t="s">
        <v>191</v>
      </c>
      <c r="C147" s="4" t="s">
        <v>192</v>
      </c>
      <c r="D147" s="52">
        <v>2500</v>
      </c>
      <c r="E147" s="37">
        <v>98.48</v>
      </c>
      <c r="F147" s="52">
        <v>2500</v>
      </c>
      <c r="G147" s="37">
        <v>98.48</v>
      </c>
      <c r="H147" s="56">
        <v>2462</v>
      </c>
      <c r="I147" s="18">
        <v>2500</v>
      </c>
      <c r="K147" t="s">
        <v>336</v>
      </c>
      <c r="L147" s="134">
        <v>3000</v>
      </c>
      <c r="M147" s="20">
        <f t="shared" si="370"/>
        <v>0.19999999999999996</v>
      </c>
      <c r="N147" s="20">
        <f t="shared" si="371"/>
        <v>0.19999999999999996</v>
      </c>
      <c r="Q147" s="134">
        <v>3000</v>
      </c>
      <c r="R147" s="18">
        <v>2775</v>
      </c>
      <c r="S147" s="134">
        <v>3000</v>
      </c>
      <c r="T147" s="18">
        <f t="shared" si="377"/>
        <v>0</v>
      </c>
      <c r="U147" s="19">
        <f t="shared" si="378"/>
        <v>0</v>
      </c>
      <c r="Y147" s="134">
        <v>3000</v>
      </c>
      <c r="AA147" s="134">
        <v>3000</v>
      </c>
      <c r="AB147" s="216">
        <f t="shared" si="379"/>
        <v>0</v>
      </c>
      <c r="AC147" s="219">
        <f t="shared" si="380"/>
        <v>0</v>
      </c>
      <c r="AD147" s="219"/>
      <c r="AE147" s="134">
        <v>3000</v>
      </c>
      <c r="AF147" s="213"/>
      <c r="AH147" s="18">
        <v>2774.74</v>
      </c>
      <c r="AI147" s="20">
        <f t="shared" si="381"/>
        <v>0.92491333333333325</v>
      </c>
      <c r="AK147" s="134">
        <v>3000</v>
      </c>
      <c r="AS147" s="18">
        <f t="shared" si="382"/>
        <v>3000</v>
      </c>
      <c r="AV147" s="18">
        <f t="shared" si="383"/>
        <v>3000</v>
      </c>
      <c r="AX147" s="18"/>
      <c r="AY147" s="18">
        <f t="shared" si="384"/>
        <v>3000</v>
      </c>
      <c r="BB147" s="18">
        <f t="shared" si="385"/>
        <v>3000</v>
      </c>
      <c r="BD147" s="18">
        <v>-2000</v>
      </c>
      <c r="BE147" s="18">
        <f t="shared" si="386"/>
        <v>1000</v>
      </c>
      <c r="BG147" s="18"/>
      <c r="BH147" s="18">
        <f t="shared" si="387"/>
        <v>1000</v>
      </c>
      <c r="BJ147" s="18">
        <v>604.29999999999995</v>
      </c>
      <c r="BK147" s="279">
        <f t="shared" si="388"/>
        <v>0.60429999999999995</v>
      </c>
      <c r="BM147" s="289">
        <v>1000</v>
      </c>
      <c r="BN147" s="279">
        <f t="shared" si="389"/>
        <v>1.6548072149594573</v>
      </c>
      <c r="BO147" s="279">
        <f t="shared" si="402"/>
        <v>1</v>
      </c>
      <c r="BQ147" s="289"/>
      <c r="BR147" s="18">
        <f t="shared" si="390"/>
        <v>1000</v>
      </c>
      <c r="BT147" s="289"/>
      <c r="BU147" s="18">
        <f t="shared" si="391"/>
        <v>1000</v>
      </c>
      <c r="BW147" s="289"/>
      <c r="BX147" s="18">
        <f t="shared" si="392"/>
        <v>1000</v>
      </c>
      <c r="BZ147" s="289"/>
      <c r="CA147" s="18">
        <f t="shared" si="393"/>
        <v>1000</v>
      </c>
      <c r="CC147" s="289"/>
      <c r="CD147" s="18">
        <f t="shared" si="394"/>
        <v>1000</v>
      </c>
      <c r="CF147" s="289"/>
      <c r="CG147" s="18">
        <f t="shared" si="395"/>
        <v>1000</v>
      </c>
      <c r="CI147" s="289"/>
      <c r="CJ147" s="18">
        <f t="shared" si="396"/>
        <v>1000</v>
      </c>
      <c r="CL147" s="327">
        <v>2000</v>
      </c>
      <c r="CM147" s="18">
        <f t="shared" si="397"/>
        <v>3000</v>
      </c>
      <c r="CO147" s="327">
        <v>500</v>
      </c>
      <c r="CP147" s="18">
        <f t="shared" si="398"/>
        <v>3500</v>
      </c>
      <c r="CR147" s="327"/>
      <c r="CS147" s="18">
        <f t="shared" si="399"/>
        <v>3500</v>
      </c>
      <c r="CU147" s="327"/>
      <c r="CV147" s="18">
        <f t="shared" si="400"/>
        <v>3500</v>
      </c>
      <c r="CX147" s="327"/>
      <c r="CY147" s="18">
        <f t="shared" si="401"/>
        <v>3500</v>
      </c>
      <c r="DA147" s="327">
        <v>3195</v>
      </c>
      <c r="DC147" s="327">
        <v>4000</v>
      </c>
    </row>
    <row r="148" spans="1:107" outlineLevel="1">
      <c r="A148" s="170" t="s">
        <v>73</v>
      </c>
      <c r="B148" s="170" t="s">
        <v>229</v>
      </c>
      <c r="C148" s="4" t="s">
        <v>230</v>
      </c>
      <c r="D148" s="52"/>
      <c r="E148" s="37"/>
      <c r="F148" s="52"/>
      <c r="G148" s="37"/>
      <c r="H148" s="56"/>
      <c r="M148" s="20"/>
      <c r="N148" s="20"/>
      <c r="Q148" s="134">
        <v>299</v>
      </c>
      <c r="R148" s="18">
        <v>299</v>
      </c>
      <c r="S148" s="134">
        <v>300</v>
      </c>
      <c r="T148" s="18">
        <f t="shared" si="377"/>
        <v>1</v>
      </c>
      <c r="U148" s="19">
        <f t="shared" si="378"/>
        <v>3.3444816053511683E-3</v>
      </c>
      <c r="Y148" s="134">
        <v>300</v>
      </c>
      <c r="AA148" s="134">
        <v>300</v>
      </c>
      <c r="AB148" s="216">
        <f t="shared" si="379"/>
        <v>0</v>
      </c>
      <c r="AC148" s="219">
        <f t="shared" si="380"/>
        <v>0</v>
      </c>
      <c r="AD148" s="219"/>
      <c r="AE148" s="134">
        <v>300</v>
      </c>
      <c r="AF148" s="213"/>
      <c r="AH148" s="18">
        <v>299</v>
      </c>
      <c r="AI148" s="20">
        <f t="shared" si="381"/>
        <v>0.9966666666666667</v>
      </c>
      <c r="AK148" s="134">
        <v>300</v>
      </c>
      <c r="AS148" s="18">
        <f t="shared" si="382"/>
        <v>300</v>
      </c>
      <c r="AV148" s="18">
        <f t="shared" si="383"/>
        <v>300</v>
      </c>
      <c r="AX148" s="18"/>
      <c r="AY148" s="18">
        <f t="shared" si="384"/>
        <v>300</v>
      </c>
      <c r="BB148" s="18">
        <f t="shared" si="385"/>
        <v>300</v>
      </c>
      <c r="BD148" s="18"/>
      <c r="BE148" s="18">
        <f t="shared" si="386"/>
        <v>300</v>
      </c>
      <c r="BG148" s="18"/>
      <c r="BH148" s="18">
        <f t="shared" si="387"/>
        <v>300</v>
      </c>
      <c r="BJ148" s="18">
        <v>0</v>
      </c>
      <c r="BK148" s="279">
        <f t="shared" si="388"/>
        <v>0</v>
      </c>
      <c r="BM148" s="289">
        <v>300</v>
      </c>
      <c r="BN148" s="279" t="e">
        <f t="shared" si="389"/>
        <v>#DIV/0!</v>
      </c>
      <c r="BO148" s="279">
        <f t="shared" si="402"/>
        <v>1</v>
      </c>
      <c r="BQ148" s="289"/>
      <c r="BR148" s="18">
        <f t="shared" si="390"/>
        <v>300</v>
      </c>
      <c r="BT148" s="289"/>
      <c r="BU148" s="18">
        <f t="shared" si="391"/>
        <v>300</v>
      </c>
      <c r="BW148" s="289"/>
      <c r="BX148" s="18">
        <f t="shared" si="392"/>
        <v>300</v>
      </c>
      <c r="BZ148" s="289"/>
      <c r="CA148" s="18">
        <f t="shared" si="393"/>
        <v>300</v>
      </c>
      <c r="CC148" s="289"/>
      <c r="CD148" s="18">
        <f t="shared" si="394"/>
        <v>300</v>
      </c>
      <c r="CF148" s="289"/>
      <c r="CG148" s="18">
        <f t="shared" si="395"/>
        <v>300</v>
      </c>
      <c r="CI148" s="289"/>
      <c r="CJ148" s="18">
        <f t="shared" si="396"/>
        <v>300</v>
      </c>
      <c r="CM148" s="18">
        <f t="shared" si="397"/>
        <v>300</v>
      </c>
      <c r="CO148" s="327"/>
      <c r="CP148" s="18">
        <f t="shared" si="398"/>
        <v>300</v>
      </c>
      <c r="CR148" s="327"/>
      <c r="CS148" s="18">
        <f t="shared" si="399"/>
        <v>300</v>
      </c>
      <c r="CU148" s="349">
        <v>-300</v>
      </c>
      <c r="CV148" s="18">
        <f t="shared" si="400"/>
        <v>0</v>
      </c>
      <c r="CX148" s="349"/>
      <c r="CY148" s="18">
        <f t="shared" si="401"/>
        <v>0</v>
      </c>
      <c r="DA148" s="327">
        <v>0</v>
      </c>
      <c r="DC148" s="327">
        <v>300</v>
      </c>
    </row>
    <row r="149" spans="1:107" outlineLevel="1">
      <c r="A149" s="14" t="s">
        <v>73</v>
      </c>
      <c r="B149" s="14" t="s">
        <v>193</v>
      </c>
      <c r="C149" s="4" t="s">
        <v>194</v>
      </c>
      <c r="D149" s="52">
        <v>1000</v>
      </c>
      <c r="E149" s="37">
        <v>308.5</v>
      </c>
      <c r="F149" s="52">
        <v>3085</v>
      </c>
      <c r="G149" s="37">
        <v>100</v>
      </c>
      <c r="H149" s="56">
        <v>3085</v>
      </c>
      <c r="I149" s="40">
        <v>3085</v>
      </c>
      <c r="J149" s="17"/>
      <c r="K149" t="s">
        <v>336</v>
      </c>
      <c r="L149" s="134">
        <v>3000</v>
      </c>
      <c r="M149" s="20">
        <f t="shared" si="370"/>
        <v>-2.7552674230145846E-2</v>
      </c>
      <c r="N149" s="20">
        <f t="shared" si="371"/>
        <v>-2.7552674230145846E-2</v>
      </c>
      <c r="Q149" s="134">
        <v>3000</v>
      </c>
      <c r="R149" s="18">
        <v>1466</v>
      </c>
      <c r="S149" s="134">
        <v>3000</v>
      </c>
      <c r="T149" s="18">
        <f t="shared" si="377"/>
        <v>0</v>
      </c>
      <c r="U149" s="19">
        <f t="shared" si="378"/>
        <v>0</v>
      </c>
      <c r="Y149" s="134">
        <v>3000</v>
      </c>
      <c r="AA149" s="134">
        <v>1500</v>
      </c>
      <c r="AB149" s="216">
        <f t="shared" si="379"/>
        <v>-1500</v>
      </c>
      <c r="AC149" s="219">
        <f t="shared" si="380"/>
        <v>-1500</v>
      </c>
      <c r="AD149" s="219"/>
      <c r="AE149" s="134">
        <v>1500</v>
      </c>
      <c r="AF149" s="213"/>
      <c r="AH149" s="18">
        <v>1466</v>
      </c>
      <c r="AI149" s="20">
        <f t="shared" si="381"/>
        <v>0.97733333333333339</v>
      </c>
      <c r="AK149" s="134">
        <v>3000</v>
      </c>
      <c r="AS149" s="18">
        <f t="shared" si="382"/>
        <v>3000</v>
      </c>
      <c r="AV149" s="18">
        <f t="shared" si="383"/>
        <v>3000</v>
      </c>
      <c r="AX149" s="18"/>
      <c r="AY149" s="18">
        <f t="shared" si="384"/>
        <v>3000</v>
      </c>
      <c r="BB149" s="18">
        <f t="shared" si="385"/>
        <v>3000</v>
      </c>
      <c r="BD149" s="18">
        <v>600</v>
      </c>
      <c r="BE149" s="18">
        <f t="shared" si="386"/>
        <v>3600</v>
      </c>
      <c r="BG149" s="18">
        <v>-1000</v>
      </c>
      <c r="BH149" s="18">
        <f t="shared" si="387"/>
        <v>2600</v>
      </c>
      <c r="BJ149" s="18">
        <v>2512</v>
      </c>
      <c r="BK149" s="279">
        <f t="shared" si="388"/>
        <v>0.96615384615384614</v>
      </c>
      <c r="BM149" s="289">
        <v>3000</v>
      </c>
      <c r="BN149" s="279">
        <f t="shared" si="389"/>
        <v>1.1942675159235669</v>
      </c>
      <c r="BO149" s="279">
        <f t="shared" si="402"/>
        <v>1.1538461538461537</v>
      </c>
      <c r="BQ149" s="289"/>
      <c r="BR149" s="18">
        <f t="shared" si="390"/>
        <v>3000</v>
      </c>
      <c r="BT149" s="289"/>
      <c r="BU149" s="18">
        <f t="shared" si="391"/>
        <v>3000</v>
      </c>
      <c r="BW149" s="289"/>
      <c r="BX149" s="18">
        <f t="shared" si="392"/>
        <v>3000</v>
      </c>
      <c r="BZ149" s="289"/>
      <c r="CA149" s="18">
        <f t="shared" si="393"/>
        <v>3000</v>
      </c>
      <c r="CC149" s="289"/>
      <c r="CD149" s="18">
        <f t="shared" si="394"/>
        <v>3000</v>
      </c>
      <c r="CF149" s="289"/>
      <c r="CG149" s="18">
        <f t="shared" si="395"/>
        <v>3000</v>
      </c>
      <c r="CI149" s="289"/>
      <c r="CJ149" s="18">
        <f t="shared" si="396"/>
        <v>3000</v>
      </c>
      <c r="CM149" s="18">
        <f t="shared" si="397"/>
        <v>3000</v>
      </c>
      <c r="CO149" s="327"/>
      <c r="CP149" s="18">
        <f t="shared" si="398"/>
        <v>3000</v>
      </c>
      <c r="CR149" s="327"/>
      <c r="CS149" s="18">
        <f t="shared" si="399"/>
        <v>3000</v>
      </c>
      <c r="CU149" s="349">
        <v>-3000</v>
      </c>
      <c r="CV149" s="18">
        <f t="shared" si="400"/>
        <v>0</v>
      </c>
      <c r="CX149" s="349"/>
      <c r="CY149" s="18">
        <f t="shared" si="401"/>
        <v>0</v>
      </c>
      <c r="DA149" s="327">
        <v>0</v>
      </c>
      <c r="DC149" s="327">
        <v>3000</v>
      </c>
    </row>
    <row r="150" spans="1:107" outlineLevel="1">
      <c r="A150" s="14" t="s">
        <v>73</v>
      </c>
      <c r="B150" s="14" t="s">
        <v>115</v>
      </c>
      <c r="C150" s="4" t="s">
        <v>116</v>
      </c>
      <c r="D150" s="52">
        <v>65000</v>
      </c>
      <c r="E150" s="37">
        <v>26.14</v>
      </c>
      <c r="F150" s="52">
        <v>65000</v>
      </c>
      <c r="G150" s="37">
        <v>26.14</v>
      </c>
      <c r="H150" s="56">
        <v>16990</v>
      </c>
      <c r="I150" s="40">
        <v>16990</v>
      </c>
      <c r="J150" s="17"/>
      <c r="L150" s="134">
        <v>30000</v>
      </c>
      <c r="M150" s="20">
        <f t="shared" si="370"/>
        <v>-0.53846153846153844</v>
      </c>
      <c r="N150" s="20">
        <f t="shared" si="371"/>
        <v>0.76574455562095345</v>
      </c>
      <c r="Q150" s="134">
        <v>75000</v>
      </c>
      <c r="R150" s="18">
        <v>0</v>
      </c>
      <c r="S150" s="178">
        <v>38000</v>
      </c>
      <c r="T150" s="18">
        <f t="shared" si="377"/>
        <v>-37000</v>
      </c>
      <c r="U150" s="19">
        <f t="shared" si="378"/>
        <v>-0.49333333333333329</v>
      </c>
      <c r="V150" s="159">
        <v>40000</v>
      </c>
      <c r="W150">
        <v>10000</v>
      </c>
      <c r="Y150" s="143">
        <v>38000</v>
      </c>
      <c r="AA150" s="134">
        <v>38000</v>
      </c>
      <c r="AB150" s="216">
        <f t="shared" si="379"/>
        <v>0</v>
      </c>
      <c r="AC150" s="219">
        <f t="shared" si="380"/>
        <v>0</v>
      </c>
      <c r="AD150" s="219"/>
      <c r="AE150" s="134">
        <v>38000</v>
      </c>
      <c r="AF150" s="213"/>
      <c r="AH150" s="18">
        <v>37497.9</v>
      </c>
      <c r="AI150" s="20">
        <f t="shared" si="381"/>
        <v>0.98678684210526324</v>
      </c>
      <c r="AK150" s="143">
        <v>20000</v>
      </c>
      <c r="AS150" s="18">
        <f t="shared" si="382"/>
        <v>20000</v>
      </c>
      <c r="AV150" s="18">
        <f t="shared" si="383"/>
        <v>20000</v>
      </c>
      <c r="AX150" s="18"/>
      <c r="AY150" s="18">
        <f t="shared" si="384"/>
        <v>20000</v>
      </c>
      <c r="BA150" s="269">
        <f>-1000-2000</f>
        <v>-3000</v>
      </c>
      <c r="BB150" s="18">
        <f t="shared" si="385"/>
        <v>17000</v>
      </c>
      <c r="BD150" s="18"/>
      <c r="BE150" s="18">
        <f t="shared" si="386"/>
        <v>17000</v>
      </c>
      <c r="BG150" s="18"/>
      <c r="BH150" s="18">
        <f t="shared" si="387"/>
        <v>17000</v>
      </c>
      <c r="BJ150" s="18">
        <v>12616.67</v>
      </c>
      <c r="BK150" s="279">
        <f t="shared" si="388"/>
        <v>0.74215705882352945</v>
      </c>
      <c r="BM150" s="289">
        <v>30000</v>
      </c>
      <c r="BN150" s="279">
        <f t="shared" si="389"/>
        <v>2.3778065052030368</v>
      </c>
      <c r="BO150" s="279">
        <f t="shared" si="402"/>
        <v>1.7647058823529411</v>
      </c>
      <c r="BQ150" s="289"/>
      <c r="BR150" s="18">
        <f t="shared" si="390"/>
        <v>30000</v>
      </c>
      <c r="BT150" s="289"/>
      <c r="BU150" s="18">
        <f t="shared" si="391"/>
        <v>30000</v>
      </c>
      <c r="BW150" s="289"/>
      <c r="BX150" s="18">
        <f t="shared" si="392"/>
        <v>30000</v>
      </c>
      <c r="BZ150" s="289"/>
      <c r="CA150" s="18">
        <f t="shared" si="393"/>
        <v>30000</v>
      </c>
      <c r="CC150" s="289"/>
      <c r="CD150" s="18">
        <f t="shared" si="394"/>
        <v>30000</v>
      </c>
      <c r="CF150" s="327">
        <v>30000</v>
      </c>
      <c r="CG150" s="18">
        <f t="shared" si="395"/>
        <v>60000</v>
      </c>
      <c r="CI150" s="327"/>
      <c r="CJ150" s="18">
        <f t="shared" si="396"/>
        <v>60000</v>
      </c>
      <c r="CL150" s="327">
        <v>50000</v>
      </c>
      <c r="CM150" s="18">
        <f t="shared" si="397"/>
        <v>110000</v>
      </c>
      <c r="CO150" s="327">
        <v>10000</v>
      </c>
      <c r="CP150" s="18">
        <f t="shared" si="398"/>
        <v>120000</v>
      </c>
      <c r="CR150" s="327"/>
      <c r="CS150" s="18">
        <f t="shared" si="399"/>
        <v>120000</v>
      </c>
      <c r="CU150" s="349">
        <v>-2000</v>
      </c>
      <c r="CV150" s="18">
        <f t="shared" si="400"/>
        <v>118000</v>
      </c>
      <c r="CX150" s="349"/>
      <c r="CY150" s="18">
        <f t="shared" si="401"/>
        <v>118000</v>
      </c>
      <c r="DA150" s="327">
        <v>116797</v>
      </c>
      <c r="DC150" s="327">
        <v>50000</v>
      </c>
    </row>
    <row r="151" spans="1:107" outlineLevel="1">
      <c r="A151" s="14" t="s">
        <v>73</v>
      </c>
      <c r="B151" s="14" t="s">
        <v>148</v>
      </c>
      <c r="C151" s="4" t="s">
        <v>149</v>
      </c>
      <c r="D151" s="52">
        <v>90000</v>
      </c>
      <c r="E151" s="37">
        <v>82.86</v>
      </c>
      <c r="F151" s="52">
        <v>90000</v>
      </c>
      <c r="G151" s="37">
        <v>82.86</v>
      </c>
      <c r="H151" s="56">
        <v>74576.820000000007</v>
      </c>
      <c r="I151" s="40">
        <v>75000</v>
      </c>
      <c r="J151" s="17"/>
      <c r="L151" s="134">
        <v>195000</v>
      </c>
      <c r="M151" s="20">
        <f t="shared" si="370"/>
        <v>1.1666666666666665</v>
      </c>
      <c r="N151" s="20">
        <f t="shared" si="371"/>
        <v>1.6</v>
      </c>
      <c r="Q151" s="134">
        <v>185000</v>
      </c>
      <c r="R151" s="18">
        <v>13271</v>
      </c>
      <c r="S151" s="178">
        <v>46500</v>
      </c>
      <c r="T151" s="18">
        <f t="shared" si="377"/>
        <v>-138500</v>
      </c>
      <c r="U151" s="19">
        <f t="shared" si="378"/>
        <v>-0.74864864864864866</v>
      </c>
      <c r="V151" s="159">
        <v>185000</v>
      </c>
      <c r="W151">
        <v>-10000</v>
      </c>
      <c r="Y151" s="143">
        <v>46500</v>
      </c>
      <c r="AA151" s="134">
        <v>25000</v>
      </c>
      <c r="AB151" s="216">
        <f t="shared" si="379"/>
        <v>-21500</v>
      </c>
      <c r="AC151" s="219">
        <f t="shared" si="380"/>
        <v>-21500</v>
      </c>
      <c r="AD151" s="219"/>
      <c r="AE151" s="134">
        <v>25000</v>
      </c>
      <c r="AF151" s="213"/>
      <c r="AH151" s="18">
        <v>23484.240000000002</v>
      </c>
      <c r="AI151" s="20">
        <f t="shared" si="381"/>
        <v>0.93936960000000003</v>
      </c>
      <c r="AK151" s="134">
        <v>40000</v>
      </c>
      <c r="AS151" s="18">
        <f t="shared" si="382"/>
        <v>40000</v>
      </c>
      <c r="AV151" s="18">
        <f t="shared" si="383"/>
        <v>40000</v>
      </c>
      <c r="AX151" s="18"/>
      <c r="AY151" s="18">
        <f t="shared" si="384"/>
        <v>40000</v>
      </c>
      <c r="BB151" s="18">
        <f t="shared" si="385"/>
        <v>40000</v>
      </c>
      <c r="BD151" s="18">
        <v>40000</v>
      </c>
      <c r="BE151" s="18">
        <f t="shared" si="386"/>
        <v>80000</v>
      </c>
      <c r="BG151" s="18"/>
      <c r="BH151" s="18">
        <f t="shared" si="387"/>
        <v>80000</v>
      </c>
      <c r="BJ151" s="18">
        <v>67640.02</v>
      </c>
      <c r="BK151" s="279">
        <f t="shared" si="388"/>
        <v>0.84550025000000006</v>
      </c>
      <c r="BM151" s="289">
        <v>52500</v>
      </c>
      <c r="BN151" s="279">
        <f t="shared" si="389"/>
        <v>0.77616771846016597</v>
      </c>
      <c r="BO151" s="279">
        <f t="shared" si="402"/>
        <v>0.65625</v>
      </c>
      <c r="BQ151" s="289"/>
      <c r="BR151" s="18">
        <f t="shared" si="390"/>
        <v>52500</v>
      </c>
      <c r="BT151" s="289"/>
      <c r="BU151" s="18">
        <f t="shared" si="391"/>
        <v>52500</v>
      </c>
      <c r="BW151" s="289"/>
      <c r="BX151" s="18">
        <f t="shared" si="392"/>
        <v>52500</v>
      </c>
      <c r="BZ151" s="289"/>
      <c r="CA151" s="18">
        <f t="shared" si="393"/>
        <v>52500</v>
      </c>
      <c r="CC151" s="289"/>
      <c r="CD151" s="18">
        <f t="shared" si="394"/>
        <v>52500</v>
      </c>
      <c r="CF151" s="289"/>
      <c r="CG151" s="18">
        <f t="shared" si="395"/>
        <v>52500</v>
      </c>
      <c r="CI151" s="289"/>
      <c r="CJ151" s="18">
        <f t="shared" si="396"/>
        <v>52500</v>
      </c>
      <c r="CL151" s="327">
        <v>30000</v>
      </c>
      <c r="CM151" s="18">
        <f t="shared" si="397"/>
        <v>82500</v>
      </c>
      <c r="CO151" s="327">
        <v>5000</v>
      </c>
      <c r="CP151" s="18">
        <f t="shared" si="398"/>
        <v>87500</v>
      </c>
      <c r="CR151" s="327"/>
      <c r="CS151" s="18">
        <f t="shared" si="399"/>
        <v>87500</v>
      </c>
      <c r="CU151" s="349">
        <v>2000</v>
      </c>
      <c r="CV151" s="18">
        <f t="shared" si="400"/>
        <v>89500</v>
      </c>
      <c r="CX151" s="349"/>
      <c r="CY151" s="18">
        <f t="shared" si="401"/>
        <v>89500</v>
      </c>
      <c r="DA151" s="327">
        <v>89349.8</v>
      </c>
      <c r="DC151" s="327">
        <v>90000</v>
      </c>
    </row>
    <row r="152" spans="1:107" outlineLevel="1">
      <c r="A152" s="381" t="s">
        <v>73</v>
      </c>
      <c r="B152" s="381" t="s">
        <v>565</v>
      </c>
      <c r="C152" s="4" t="s">
        <v>566</v>
      </c>
      <c r="D152" s="52"/>
      <c r="E152" s="37"/>
      <c r="F152" s="52"/>
      <c r="G152" s="37"/>
      <c r="H152" s="56"/>
      <c r="I152" s="40"/>
      <c r="J152" s="17"/>
      <c r="M152" s="20"/>
      <c r="N152" s="20"/>
      <c r="S152" s="178"/>
      <c r="U152" s="19"/>
      <c r="Y152" s="143"/>
      <c r="AB152" s="216"/>
      <c r="AC152" s="219"/>
      <c r="AD152" s="219"/>
      <c r="AF152" s="213"/>
      <c r="AH152" s="18"/>
      <c r="AI152" s="20"/>
      <c r="AS152" s="18"/>
      <c r="AV152" s="18"/>
      <c r="AX152" s="18"/>
      <c r="AY152" s="18"/>
      <c r="BB152" s="18"/>
      <c r="BD152" s="18"/>
      <c r="BE152" s="18"/>
      <c r="BG152" s="18"/>
      <c r="BH152" s="18"/>
      <c r="BK152" s="279"/>
      <c r="BM152" s="289"/>
      <c r="BN152" s="279"/>
      <c r="BO152" s="279"/>
      <c r="BQ152" s="289"/>
      <c r="BR152" s="18"/>
      <c r="BT152" s="289"/>
      <c r="BU152" s="18"/>
      <c r="BW152" s="289"/>
      <c r="BX152" s="18"/>
      <c r="BZ152" s="289"/>
      <c r="CA152" s="18"/>
      <c r="CC152" s="289"/>
      <c r="CD152" s="18"/>
      <c r="CF152" s="327">
        <v>10000</v>
      </c>
      <c r="CG152" s="18">
        <f t="shared" si="395"/>
        <v>10000</v>
      </c>
      <c r="CI152" s="327"/>
      <c r="CJ152" s="18">
        <f t="shared" si="396"/>
        <v>10000</v>
      </c>
      <c r="CL152" s="327">
        <v>20000</v>
      </c>
      <c r="CM152" s="18">
        <f t="shared" si="397"/>
        <v>30000</v>
      </c>
      <c r="CO152" s="327"/>
      <c r="CP152" s="18">
        <f t="shared" si="398"/>
        <v>30000</v>
      </c>
      <c r="CR152" s="327"/>
      <c r="CS152" s="18">
        <f t="shared" si="399"/>
        <v>30000</v>
      </c>
      <c r="CU152" s="327"/>
      <c r="CV152" s="18">
        <f t="shared" si="400"/>
        <v>30000</v>
      </c>
      <c r="CX152" s="327"/>
      <c r="CY152" s="18">
        <f t="shared" si="401"/>
        <v>30000</v>
      </c>
      <c r="DA152" s="327">
        <v>27871.33</v>
      </c>
      <c r="DC152" s="327">
        <f>12*6400</f>
        <v>76800</v>
      </c>
    </row>
    <row r="153" spans="1:107" outlineLevel="1">
      <c r="A153" s="14" t="s">
        <v>73</v>
      </c>
      <c r="B153" s="14" t="s">
        <v>195</v>
      </c>
      <c r="C153" s="4" t="s">
        <v>196</v>
      </c>
      <c r="D153" s="52">
        <v>12000</v>
      </c>
      <c r="E153" s="37">
        <v>110.2</v>
      </c>
      <c r="F153" s="52">
        <v>20000</v>
      </c>
      <c r="G153" s="37">
        <v>66.12</v>
      </c>
      <c r="H153" s="56">
        <v>13223.5</v>
      </c>
      <c r="I153" s="40">
        <v>16000</v>
      </c>
      <c r="J153" s="17"/>
      <c r="K153" t="s">
        <v>336</v>
      </c>
      <c r="L153" s="134">
        <v>20000</v>
      </c>
      <c r="M153" s="20">
        <f t="shared" si="370"/>
        <v>0</v>
      </c>
      <c r="N153" s="20">
        <f t="shared" si="371"/>
        <v>0.25</v>
      </c>
      <c r="Q153" s="134">
        <v>20000</v>
      </c>
      <c r="R153" s="18">
        <v>7872</v>
      </c>
      <c r="S153" s="134">
        <v>15000</v>
      </c>
      <c r="T153" s="18">
        <f t="shared" si="377"/>
        <v>-5000</v>
      </c>
      <c r="U153" s="19">
        <f t="shared" si="378"/>
        <v>-0.25</v>
      </c>
      <c r="Y153" s="134">
        <v>15000</v>
      </c>
      <c r="AA153" s="134">
        <v>15000</v>
      </c>
      <c r="AB153" s="216">
        <f t="shared" si="379"/>
        <v>0</v>
      </c>
      <c r="AC153" s="219">
        <f t="shared" si="380"/>
        <v>0</v>
      </c>
      <c r="AD153" s="219"/>
      <c r="AE153" s="134">
        <v>15000</v>
      </c>
      <c r="AF153" s="213"/>
      <c r="AH153" s="18">
        <v>14774.1</v>
      </c>
      <c r="AI153" s="20">
        <f t="shared" si="381"/>
        <v>0.98494000000000004</v>
      </c>
      <c r="AK153" s="134">
        <v>15000</v>
      </c>
      <c r="AS153" s="18">
        <f t="shared" si="382"/>
        <v>15000</v>
      </c>
      <c r="AV153" s="18">
        <f t="shared" si="383"/>
        <v>15000</v>
      </c>
      <c r="AX153" s="18"/>
      <c r="AY153" s="18">
        <f t="shared" si="384"/>
        <v>15000</v>
      </c>
      <c r="BB153" s="18">
        <f t="shared" si="385"/>
        <v>15000</v>
      </c>
      <c r="BD153" s="18">
        <v>10000</v>
      </c>
      <c r="BE153" s="18">
        <f t="shared" si="386"/>
        <v>25000</v>
      </c>
      <c r="BG153" s="18"/>
      <c r="BH153" s="18">
        <f t="shared" si="387"/>
        <v>25000</v>
      </c>
      <c r="BJ153" s="18">
        <v>19528.599999999999</v>
      </c>
      <c r="BK153" s="279">
        <f t="shared" si="388"/>
        <v>0.78114399999999995</v>
      </c>
      <c r="BM153" s="289">
        <v>28000</v>
      </c>
      <c r="BN153" s="279">
        <f t="shared" si="389"/>
        <v>1.4337945372428131</v>
      </c>
      <c r="BO153" s="279">
        <f t="shared" si="402"/>
        <v>1.1200000000000001</v>
      </c>
      <c r="BQ153" s="289"/>
      <c r="BR153" s="18">
        <f t="shared" si="390"/>
        <v>28000</v>
      </c>
      <c r="BT153" s="289"/>
      <c r="BU153" s="18">
        <f t="shared" si="391"/>
        <v>28000</v>
      </c>
      <c r="BW153" s="289"/>
      <c r="BX153" s="18">
        <f t="shared" si="392"/>
        <v>28000</v>
      </c>
      <c r="BZ153" s="289"/>
      <c r="CA153" s="18">
        <f t="shared" si="393"/>
        <v>28000</v>
      </c>
      <c r="CC153" s="289"/>
      <c r="CD153" s="18">
        <f t="shared" si="394"/>
        <v>28000</v>
      </c>
      <c r="CF153" s="289"/>
      <c r="CG153" s="18">
        <f t="shared" si="395"/>
        <v>28000</v>
      </c>
      <c r="CI153" s="289"/>
      <c r="CJ153" s="18">
        <f t="shared" si="396"/>
        <v>28000</v>
      </c>
      <c r="CL153" s="327">
        <v>12000</v>
      </c>
      <c r="CM153" s="18">
        <f t="shared" si="397"/>
        <v>40000</v>
      </c>
      <c r="CO153" s="327">
        <v>5000</v>
      </c>
      <c r="CP153" s="18">
        <f t="shared" si="398"/>
        <v>45000</v>
      </c>
      <c r="CR153" s="327"/>
      <c r="CS153" s="18">
        <f t="shared" si="399"/>
        <v>45000</v>
      </c>
      <c r="CU153" s="349">
        <v>-2000</v>
      </c>
      <c r="CV153" s="18">
        <f t="shared" si="400"/>
        <v>43000</v>
      </c>
      <c r="CX153" s="349"/>
      <c r="CY153" s="18">
        <f t="shared" si="401"/>
        <v>43000</v>
      </c>
      <c r="DA153" s="327">
        <v>44119.1</v>
      </c>
      <c r="DC153" s="327">
        <v>60000</v>
      </c>
    </row>
    <row r="154" spans="1:107" outlineLevel="1">
      <c r="A154" s="14" t="s">
        <v>73</v>
      </c>
      <c r="B154" s="14" t="s">
        <v>197</v>
      </c>
      <c r="C154" s="4" t="s">
        <v>198</v>
      </c>
      <c r="D154" s="52">
        <v>2200</v>
      </c>
      <c r="E154" s="37">
        <v>0</v>
      </c>
      <c r="F154" s="52">
        <v>2200</v>
      </c>
      <c r="G154" s="37">
        <v>0</v>
      </c>
      <c r="H154" s="56">
        <v>0</v>
      </c>
      <c r="I154" s="40">
        <v>0</v>
      </c>
      <c r="J154" s="17"/>
      <c r="L154" s="134">
        <v>1000</v>
      </c>
      <c r="M154" s="20">
        <f t="shared" si="370"/>
        <v>-0.54545454545454541</v>
      </c>
      <c r="N154" s="20" t="e">
        <f t="shared" si="371"/>
        <v>#DIV/0!</v>
      </c>
      <c r="Q154" s="134">
        <v>1000</v>
      </c>
      <c r="R154" s="18">
        <v>0</v>
      </c>
      <c r="S154" s="134">
        <v>0</v>
      </c>
      <c r="T154" s="18">
        <f t="shared" si="377"/>
        <v>-1000</v>
      </c>
      <c r="U154" s="19">
        <f t="shared" si="378"/>
        <v>-1</v>
      </c>
      <c r="Y154" s="134">
        <v>0</v>
      </c>
      <c r="AA154" s="134">
        <v>0</v>
      </c>
      <c r="AB154" s="216">
        <f t="shared" si="379"/>
        <v>0</v>
      </c>
      <c r="AC154" s="219">
        <f t="shared" si="380"/>
        <v>0</v>
      </c>
      <c r="AD154" s="219"/>
      <c r="AE154" s="134">
        <v>2600</v>
      </c>
      <c r="AF154" s="213">
        <f>AE154-AA154</f>
        <v>2600</v>
      </c>
      <c r="AH154" s="18">
        <v>2590</v>
      </c>
      <c r="AI154" s="20">
        <f t="shared" si="381"/>
        <v>0.99615384615384617</v>
      </c>
      <c r="AK154" s="134">
        <v>2600</v>
      </c>
      <c r="AS154" s="18">
        <f t="shared" si="382"/>
        <v>2600</v>
      </c>
      <c r="AV154" s="18">
        <f t="shared" si="383"/>
        <v>2600</v>
      </c>
      <c r="AX154" s="18"/>
      <c r="AY154" s="18">
        <f t="shared" si="384"/>
        <v>2600</v>
      </c>
      <c r="BB154" s="18">
        <f t="shared" si="385"/>
        <v>2600</v>
      </c>
      <c r="BD154" s="18">
        <v>-2600</v>
      </c>
      <c r="BE154" s="18">
        <f t="shared" si="386"/>
        <v>0</v>
      </c>
      <c r="BG154" s="18"/>
      <c r="BH154" s="18">
        <f t="shared" si="387"/>
        <v>0</v>
      </c>
      <c r="BJ154" s="18">
        <v>2590</v>
      </c>
      <c r="BK154" s="279" t="e">
        <f t="shared" si="388"/>
        <v>#DIV/0!</v>
      </c>
      <c r="BM154" s="289">
        <v>2600</v>
      </c>
      <c r="BN154" s="279">
        <f t="shared" si="389"/>
        <v>1.0038610038610039</v>
      </c>
      <c r="BO154" s="279" t="e">
        <f t="shared" si="402"/>
        <v>#DIV/0!</v>
      </c>
      <c r="BQ154" s="289"/>
      <c r="BR154" s="18">
        <f t="shared" si="390"/>
        <v>2600</v>
      </c>
      <c r="BT154" s="289"/>
      <c r="BU154" s="18">
        <f t="shared" si="391"/>
        <v>2600</v>
      </c>
      <c r="BW154" s="289"/>
      <c r="BX154" s="18">
        <f t="shared" si="392"/>
        <v>2600</v>
      </c>
      <c r="BZ154" s="289"/>
      <c r="CA154" s="18">
        <f t="shared" si="393"/>
        <v>2600</v>
      </c>
      <c r="CC154" s="289"/>
      <c r="CD154" s="18">
        <f t="shared" si="394"/>
        <v>2600</v>
      </c>
      <c r="CF154" s="289"/>
      <c r="CG154" s="18">
        <f t="shared" si="395"/>
        <v>2600</v>
      </c>
      <c r="CI154" s="289"/>
      <c r="CJ154" s="18">
        <f t="shared" si="396"/>
        <v>2600</v>
      </c>
      <c r="CM154" s="18">
        <f t="shared" si="397"/>
        <v>2600</v>
      </c>
      <c r="CO154" s="327"/>
      <c r="CP154" s="18">
        <f t="shared" si="398"/>
        <v>2600</v>
      </c>
      <c r="CR154" s="327"/>
      <c r="CS154" s="18">
        <f t="shared" si="399"/>
        <v>2600</v>
      </c>
      <c r="CU154" s="349">
        <v>100</v>
      </c>
      <c r="CV154" s="18">
        <f t="shared" si="400"/>
        <v>2700</v>
      </c>
      <c r="CX154" s="349"/>
      <c r="CY154" s="18">
        <f t="shared" si="401"/>
        <v>2700</v>
      </c>
      <c r="DA154" s="327">
        <v>2690</v>
      </c>
      <c r="DC154" s="327">
        <v>2700</v>
      </c>
    </row>
    <row r="155" spans="1:107" outlineLevel="1">
      <c r="A155" s="14" t="s">
        <v>73</v>
      </c>
      <c r="B155" s="14" t="s">
        <v>117</v>
      </c>
      <c r="C155" s="4" t="s">
        <v>118</v>
      </c>
      <c r="D155" s="52">
        <v>63500</v>
      </c>
      <c r="E155" s="37">
        <v>62.41</v>
      </c>
      <c r="F155" s="52">
        <v>63500</v>
      </c>
      <c r="G155" s="37">
        <v>62.41</v>
      </c>
      <c r="H155" s="56">
        <v>39632.11</v>
      </c>
      <c r="I155" s="40">
        <v>40000</v>
      </c>
      <c r="J155" s="17"/>
      <c r="L155" s="134">
        <v>170000</v>
      </c>
      <c r="M155" s="20">
        <f t="shared" si="370"/>
        <v>1.6771653543307088</v>
      </c>
      <c r="N155" s="20">
        <f t="shared" si="371"/>
        <v>3.25</v>
      </c>
      <c r="Q155" s="134">
        <v>120000</v>
      </c>
      <c r="R155" s="18">
        <v>35041</v>
      </c>
      <c r="S155" s="134">
        <v>45000</v>
      </c>
      <c r="T155" s="18">
        <f t="shared" si="377"/>
        <v>-75000</v>
      </c>
      <c r="U155" s="19">
        <f t="shared" si="378"/>
        <v>-0.625</v>
      </c>
      <c r="V155" s="159">
        <v>120000</v>
      </c>
      <c r="W155">
        <v>-50000</v>
      </c>
      <c r="Y155" s="134">
        <v>45000</v>
      </c>
      <c r="AA155" s="134">
        <v>75000</v>
      </c>
      <c r="AB155" s="216">
        <f t="shared" si="379"/>
        <v>30000</v>
      </c>
      <c r="AC155" s="219">
        <f t="shared" ref="AC155:AC160" si="403">AA155-Y155</f>
        <v>30000</v>
      </c>
      <c r="AD155" s="219"/>
      <c r="AE155" s="134">
        <v>75000</v>
      </c>
      <c r="AF155" s="213"/>
      <c r="AH155" s="18">
        <v>65856.5</v>
      </c>
      <c r="AI155" s="20">
        <f t="shared" si="381"/>
        <v>0.87808666666666668</v>
      </c>
      <c r="AK155" s="134">
        <f>140500-18000-13000-300-20000-11000</f>
        <v>78200</v>
      </c>
      <c r="AP155" s="260">
        <f>-1500-18000-13000-300-20000-11000</f>
        <v>-63800</v>
      </c>
      <c r="AS155" s="18">
        <f t="shared" si="382"/>
        <v>78200</v>
      </c>
      <c r="AV155" s="18">
        <f t="shared" si="383"/>
        <v>78200</v>
      </c>
      <c r="AX155" s="18"/>
      <c r="AY155" s="18">
        <f t="shared" si="384"/>
        <v>78200</v>
      </c>
      <c r="BA155" s="269">
        <v>1000</v>
      </c>
      <c r="BB155" s="18">
        <f t="shared" si="385"/>
        <v>79200</v>
      </c>
      <c r="BD155" s="18">
        <v>50000</v>
      </c>
      <c r="BE155" s="18">
        <f t="shared" si="386"/>
        <v>129200</v>
      </c>
      <c r="BG155" s="18"/>
      <c r="BH155" s="18">
        <f t="shared" si="387"/>
        <v>129200</v>
      </c>
      <c r="BJ155" s="18">
        <v>127726</v>
      </c>
      <c r="BK155" s="279">
        <f t="shared" si="388"/>
        <v>0.98859133126934984</v>
      </c>
      <c r="BM155" s="289">
        <v>70000</v>
      </c>
      <c r="BN155" s="279">
        <f t="shared" si="389"/>
        <v>0.5480481656044971</v>
      </c>
      <c r="BO155" s="279">
        <f t="shared" si="402"/>
        <v>0.54179566563467496</v>
      </c>
      <c r="BQ155" s="289"/>
      <c r="BR155" s="18">
        <f t="shared" si="390"/>
        <v>70000</v>
      </c>
      <c r="BT155" s="289"/>
      <c r="BU155" s="18">
        <f t="shared" si="391"/>
        <v>70000</v>
      </c>
      <c r="BW155" s="289"/>
      <c r="BX155" s="18">
        <f t="shared" si="392"/>
        <v>70000</v>
      </c>
      <c r="BZ155" s="289"/>
      <c r="CA155" s="18">
        <f t="shared" si="393"/>
        <v>70000</v>
      </c>
      <c r="CC155" s="349">
        <v>241888.89</v>
      </c>
      <c r="CD155" s="18">
        <f t="shared" si="394"/>
        <v>311888.89</v>
      </c>
      <c r="CF155" s="289"/>
      <c r="CG155" s="18">
        <f t="shared" si="395"/>
        <v>311888.89</v>
      </c>
      <c r="CI155" s="289"/>
      <c r="CJ155" s="18">
        <f t="shared" si="396"/>
        <v>311888.89</v>
      </c>
      <c r="CM155" s="18">
        <f t="shared" si="397"/>
        <v>311888.89</v>
      </c>
      <c r="CO155" s="327"/>
      <c r="CP155" s="18">
        <f t="shared" si="398"/>
        <v>311888.89</v>
      </c>
      <c r="CR155" s="327"/>
      <c r="CS155" s="18">
        <f t="shared" si="399"/>
        <v>311888.89</v>
      </c>
      <c r="CU155" s="349">
        <v>-228750</v>
      </c>
      <c r="CV155" s="18">
        <f t="shared" si="400"/>
        <v>83138.890000000014</v>
      </c>
      <c r="CX155" s="349"/>
      <c r="CY155" s="18">
        <f t="shared" si="401"/>
        <v>83138.890000000014</v>
      </c>
      <c r="DA155" s="327">
        <v>82648.479999999996</v>
      </c>
      <c r="DC155" s="327">
        <v>80000</v>
      </c>
    </row>
    <row r="156" spans="1:107" outlineLevel="1">
      <c r="A156" s="14" t="s">
        <v>73</v>
      </c>
      <c r="B156" s="14" t="s">
        <v>119</v>
      </c>
      <c r="C156" s="4" t="s">
        <v>120</v>
      </c>
      <c r="D156" s="52">
        <v>40000</v>
      </c>
      <c r="E156" s="37">
        <v>85.59</v>
      </c>
      <c r="F156" s="52">
        <v>40000</v>
      </c>
      <c r="G156" s="37">
        <v>85.59</v>
      </c>
      <c r="H156" s="56">
        <v>34235</v>
      </c>
      <c r="I156" s="40">
        <v>35000</v>
      </c>
      <c r="J156" s="17"/>
      <c r="L156" s="134">
        <v>38000</v>
      </c>
      <c r="M156" s="20">
        <f t="shared" si="370"/>
        <v>-5.0000000000000044E-2</v>
      </c>
      <c r="N156" s="20">
        <f t="shared" si="371"/>
        <v>8.5714285714285632E-2</v>
      </c>
      <c r="Q156" s="134">
        <v>43400</v>
      </c>
      <c r="R156" s="18">
        <v>43363</v>
      </c>
      <c r="S156" s="134">
        <v>55000</v>
      </c>
      <c r="T156" s="18">
        <f t="shared" si="377"/>
        <v>11600</v>
      </c>
      <c r="U156" s="19">
        <f t="shared" si="378"/>
        <v>0.26728110599078336</v>
      </c>
      <c r="Y156" s="134">
        <v>55000</v>
      </c>
      <c r="AA156" s="134">
        <v>70000</v>
      </c>
      <c r="AB156" s="216">
        <f t="shared" si="379"/>
        <v>15000</v>
      </c>
      <c r="AC156" s="219">
        <f t="shared" si="403"/>
        <v>15000</v>
      </c>
      <c r="AD156" s="219"/>
      <c r="AE156" s="134">
        <v>70000</v>
      </c>
      <c r="AF156" s="213"/>
      <c r="AH156" s="18">
        <v>62672.5</v>
      </c>
      <c r="AI156" s="20">
        <f t="shared" si="381"/>
        <v>0.8953214285714286</v>
      </c>
      <c r="AK156" s="134">
        <v>75000</v>
      </c>
      <c r="AS156" s="18">
        <f t="shared" si="382"/>
        <v>75000</v>
      </c>
      <c r="AV156" s="18">
        <f t="shared" si="383"/>
        <v>75000</v>
      </c>
      <c r="AX156" s="18"/>
      <c r="AY156" s="18">
        <f t="shared" si="384"/>
        <v>75000</v>
      </c>
      <c r="BB156" s="18">
        <f t="shared" si="385"/>
        <v>75000</v>
      </c>
      <c r="BD156" s="18">
        <v>15000</v>
      </c>
      <c r="BE156" s="18">
        <f t="shared" si="386"/>
        <v>90000</v>
      </c>
      <c r="BG156" s="18"/>
      <c r="BH156" s="18">
        <f t="shared" si="387"/>
        <v>90000</v>
      </c>
      <c r="BJ156" s="18">
        <v>89299.44</v>
      </c>
      <c r="BK156" s="279">
        <f t="shared" si="388"/>
        <v>0.99221599999999999</v>
      </c>
      <c r="BM156" s="289">
        <v>70000</v>
      </c>
      <c r="BN156" s="279">
        <f t="shared" si="389"/>
        <v>0.78387949577287386</v>
      </c>
      <c r="BO156" s="279">
        <f t="shared" si="402"/>
        <v>0.77777777777777779</v>
      </c>
      <c r="BQ156" s="289"/>
      <c r="BR156" s="18">
        <f t="shared" si="390"/>
        <v>70000</v>
      </c>
      <c r="BT156" s="289"/>
      <c r="BU156" s="18">
        <f t="shared" si="391"/>
        <v>70000</v>
      </c>
      <c r="BW156" s="289"/>
      <c r="BX156" s="18">
        <f t="shared" si="392"/>
        <v>70000</v>
      </c>
      <c r="BZ156" s="289"/>
      <c r="CA156" s="18">
        <f t="shared" si="393"/>
        <v>70000</v>
      </c>
      <c r="CC156" s="289"/>
      <c r="CD156" s="18">
        <f t="shared" si="394"/>
        <v>70000</v>
      </c>
      <c r="CF156" s="289"/>
      <c r="CG156" s="18">
        <f t="shared" si="395"/>
        <v>70000</v>
      </c>
      <c r="CI156" s="349">
        <v>-22000</v>
      </c>
      <c r="CJ156" s="18">
        <f t="shared" si="396"/>
        <v>48000</v>
      </c>
      <c r="CM156" s="18">
        <f t="shared" si="397"/>
        <v>48000</v>
      </c>
      <c r="CO156" s="327"/>
      <c r="CP156" s="18">
        <f t="shared" si="398"/>
        <v>48000</v>
      </c>
      <c r="CR156" s="327"/>
      <c r="CS156" s="18">
        <f t="shared" si="399"/>
        <v>48000</v>
      </c>
      <c r="CU156" s="349">
        <v>5000</v>
      </c>
      <c r="CV156" s="18">
        <f t="shared" si="400"/>
        <v>53000</v>
      </c>
      <c r="CX156" s="349"/>
      <c r="CY156" s="18">
        <f t="shared" si="401"/>
        <v>53000</v>
      </c>
      <c r="DA156" s="327">
        <v>52726</v>
      </c>
      <c r="DC156" s="327">
        <v>75048</v>
      </c>
    </row>
    <row r="157" spans="1:107" outlineLevel="1">
      <c r="A157" s="217" t="s">
        <v>73</v>
      </c>
      <c r="B157" s="217" t="s">
        <v>208</v>
      </c>
      <c r="C157" s="4" t="s">
        <v>209</v>
      </c>
      <c r="D157" s="52"/>
      <c r="E157" s="37"/>
      <c r="F157" s="52"/>
      <c r="G157" s="37"/>
      <c r="H157" s="56"/>
      <c r="I157" s="40"/>
      <c r="J157" s="17"/>
      <c r="M157" s="20"/>
      <c r="N157" s="20"/>
      <c r="U157" s="19"/>
      <c r="Y157" s="134"/>
      <c r="AB157" s="216"/>
      <c r="AC157" s="219"/>
      <c r="AD157" s="219"/>
      <c r="AE157" s="134">
        <v>500</v>
      </c>
      <c r="AF157" s="213">
        <f>AE157-AA157</f>
        <v>500</v>
      </c>
      <c r="AH157" s="18">
        <v>473</v>
      </c>
      <c r="AI157" s="20">
        <f t="shared" si="381"/>
        <v>0.94599999999999995</v>
      </c>
      <c r="AK157" s="134">
        <v>500</v>
      </c>
      <c r="AL157" s="207" t="s">
        <v>467</v>
      </c>
      <c r="AS157" s="18">
        <f t="shared" si="382"/>
        <v>500</v>
      </c>
      <c r="AV157" s="18">
        <f t="shared" si="383"/>
        <v>500</v>
      </c>
      <c r="AX157" s="18"/>
      <c r="AY157" s="18">
        <f t="shared" si="384"/>
        <v>500</v>
      </c>
      <c r="BB157" s="18">
        <f t="shared" si="385"/>
        <v>500</v>
      </c>
      <c r="BD157" s="18">
        <v>-500</v>
      </c>
      <c r="BE157" s="18">
        <f t="shared" si="386"/>
        <v>0</v>
      </c>
      <c r="BG157" s="18"/>
      <c r="BH157" s="18">
        <f t="shared" si="387"/>
        <v>0</v>
      </c>
      <c r="BJ157" s="18">
        <v>0</v>
      </c>
      <c r="BK157" s="279" t="e">
        <f t="shared" si="388"/>
        <v>#DIV/0!</v>
      </c>
      <c r="BM157" s="289">
        <v>0</v>
      </c>
      <c r="BN157" s="279" t="e">
        <f t="shared" si="389"/>
        <v>#DIV/0!</v>
      </c>
      <c r="BO157" s="279" t="e">
        <f t="shared" si="402"/>
        <v>#DIV/0!</v>
      </c>
      <c r="BQ157" s="289"/>
      <c r="BR157" s="18">
        <f t="shared" si="390"/>
        <v>0</v>
      </c>
      <c r="BT157" s="289"/>
      <c r="BU157" s="18">
        <f t="shared" si="391"/>
        <v>0</v>
      </c>
      <c r="BW157" s="289"/>
      <c r="BX157" s="18">
        <f t="shared" si="392"/>
        <v>0</v>
      </c>
      <c r="BZ157" s="289"/>
      <c r="CA157" s="18">
        <f t="shared" si="393"/>
        <v>0</v>
      </c>
      <c r="CC157" s="289"/>
      <c r="CD157" s="18">
        <f t="shared" si="394"/>
        <v>0</v>
      </c>
      <c r="CF157" s="289"/>
      <c r="CG157" s="18">
        <f t="shared" si="395"/>
        <v>0</v>
      </c>
      <c r="CH157" s="206">
        <v>1594</v>
      </c>
      <c r="CI157" s="349">
        <v>3000</v>
      </c>
      <c r="CJ157" s="18">
        <f t="shared" si="396"/>
        <v>3000</v>
      </c>
      <c r="CM157" s="18">
        <f t="shared" si="397"/>
        <v>3000</v>
      </c>
      <c r="CO157" s="327"/>
      <c r="CP157" s="18">
        <f t="shared" si="398"/>
        <v>3000</v>
      </c>
      <c r="CR157" s="327"/>
      <c r="CS157" s="18">
        <f t="shared" si="399"/>
        <v>3000</v>
      </c>
      <c r="CU157" s="349">
        <v>-1400</v>
      </c>
      <c r="CV157" s="18">
        <f t="shared" si="400"/>
        <v>1600</v>
      </c>
      <c r="CX157" s="349"/>
      <c r="CY157" s="18">
        <f t="shared" si="401"/>
        <v>1600</v>
      </c>
      <c r="DA157" s="327">
        <v>1594</v>
      </c>
      <c r="DC157" s="327">
        <v>3000</v>
      </c>
    </row>
    <row r="158" spans="1:107" outlineLevel="1">
      <c r="A158" s="351" t="s">
        <v>73</v>
      </c>
      <c r="B158" s="351" t="s">
        <v>131</v>
      </c>
      <c r="C158" s="4" t="s">
        <v>558</v>
      </c>
      <c r="D158" s="52"/>
      <c r="E158" s="37"/>
      <c r="F158" s="52"/>
      <c r="G158" s="37"/>
      <c r="H158" s="56"/>
      <c r="I158" s="40"/>
      <c r="J158" s="17"/>
      <c r="M158" s="20"/>
      <c r="N158" s="20"/>
      <c r="U158" s="19"/>
      <c r="Y158" s="134"/>
      <c r="AB158" s="216"/>
      <c r="AC158" s="219"/>
      <c r="AD158" s="219"/>
      <c r="AF158" s="213"/>
      <c r="AH158" s="18"/>
      <c r="AI158" s="20"/>
      <c r="AS158" s="18"/>
      <c r="AV158" s="18"/>
      <c r="AX158" s="18"/>
      <c r="AY158" s="18"/>
      <c r="BB158" s="18"/>
      <c r="BD158" s="18"/>
      <c r="BE158" s="18"/>
      <c r="BG158" s="18"/>
      <c r="BH158" s="18"/>
      <c r="BK158" s="279"/>
      <c r="BM158" s="289"/>
      <c r="BN158" s="279"/>
      <c r="BO158" s="279"/>
      <c r="BQ158" s="349">
        <v>35400</v>
      </c>
      <c r="BR158" s="18">
        <f t="shared" si="390"/>
        <v>35400</v>
      </c>
      <c r="BT158" s="289"/>
      <c r="BU158" s="18">
        <f t="shared" si="391"/>
        <v>35400</v>
      </c>
      <c r="BW158" s="289"/>
      <c r="BX158" s="18">
        <f t="shared" si="392"/>
        <v>35400</v>
      </c>
      <c r="BZ158" s="289"/>
      <c r="CA158" s="18">
        <f t="shared" si="393"/>
        <v>35400</v>
      </c>
      <c r="CC158" s="289"/>
      <c r="CD158" s="18">
        <f t="shared" si="394"/>
        <v>35400</v>
      </c>
      <c r="CF158" s="289"/>
      <c r="CG158" s="18">
        <f t="shared" si="395"/>
        <v>35400</v>
      </c>
      <c r="CI158" s="289"/>
      <c r="CJ158" s="18">
        <f t="shared" si="396"/>
        <v>35400</v>
      </c>
      <c r="CM158" s="18">
        <f t="shared" si="397"/>
        <v>35400</v>
      </c>
      <c r="CO158" s="327"/>
      <c r="CP158" s="18">
        <f t="shared" si="398"/>
        <v>35400</v>
      </c>
      <c r="CR158" s="327"/>
      <c r="CS158" s="18">
        <f t="shared" si="399"/>
        <v>35400</v>
      </c>
      <c r="CU158" s="327"/>
      <c r="CV158" s="18">
        <f t="shared" si="400"/>
        <v>35400</v>
      </c>
      <c r="CX158" s="327"/>
      <c r="CY158" s="18">
        <f t="shared" si="401"/>
        <v>35400</v>
      </c>
      <c r="DA158" s="327">
        <v>35392.5</v>
      </c>
      <c r="DC158" s="327"/>
    </row>
    <row r="159" spans="1:107" outlineLevel="1">
      <c r="A159" s="14" t="s">
        <v>73</v>
      </c>
      <c r="B159" s="14" t="s">
        <v>199</v>
      </c>
      <c r="C159" s="4" t="s">
        <v>200</v>
      </c>
      <c r="D159" s="52">
        <v>3000</v>
      </c>
      <c r="E159" s="37">
        <v>0</v>
      </c>
      <c r="F159" s="52">
        <v>3000</v>
      </c>
      <c r="G159" s="37">
        <v>0</v>
      </c>
      <c r="H159" s="56">
        <v>0</v>
      </c>
      <c r="I159" s="40">
        <v>0</v>
      </c>
      <c r="J159" s="17"/>
      <c r="K159" t="s">
        <v>336</v>
      </c>
      <c r="L159" s="134">
        <v>3000</v>
      </c>
      <c r="M159" s="20">
        <f t="shared" si="370"/>
        <v>0</v>
      </c>
      <c r="N159" s="20" t="e">
        <f t="shared" si="371"/>
        <v>#DIV/0!</v>
      </c>
      <c r="Q159" s="134">
        <v>4000</v>
      </c>
      <c r="R159" s="18">
        <v>3895</v>
      </c>
      <c r="S159" s="134">
        <v>5700</v>
      </c>
      <c r="T159" s="18">
        <f t="shared" si="377"/>
        <v>1700</v>
      </c>
      <c r="U159" s="19">
        <f t="shared" si="378"/>
        <v>0.42500000000000004</v>
      </c>
      <c r="V159" s="159">
        <v>4000</v>
      </c>
      <c r="W159">
        <v>1000</v>
      </c>
      <c r="Y159" s="134">
        <v>5700</v>
      </c>
      <c r="AA159" s="134">
        <v>5700</v>
      </c>
      <c r="AB159" s="216">
        <f t="shared" si="379"/>
        <v>0</v>
      </c>
      <c r="AC159" s="219">
        <f t="shared" si="403"/>
        <v>0</v>
      </c>
      <c r="AD159" s="219"/>
      <c r="AE159" s="134">
        <v>5700</v>
      </c>
      <c r="AF159" s="213"/>
      <c r="AH159" s="18">
        <v>3895</v>
      </c>
      <c r="AI159" s="20">
        <f t="shared" si="381"/>
        <v>0.68333333333333335</v>
      </c>
      <c r="AK159" s="134">
        <v>5000</v>
      </c>
      <c r="AS159" s="18">
        <f t="shared" si="382"/>
        <v>5000</v>
      </c>
      <c r="AV159" s="18">
        <f t="shared" si="383"/>
        <v>5000</v>
      </c>
      <c r="AX159" s="18"/>
      <c r="AY159" s="18">
        <f t="shared" si="384"/>
        <v>5000</v>
      </c>
      <c r="BB159" s="18">
        <f t="shared" si="385"/>
        <v>5000</v>
      </c>
      <c r="BD159" s="18">
        <v>2000</v>
      </c>
      <c r="BE159" s="18">
        <f t="shared" si="386"/>
        <v>7000</v>
      </c>
      <c r="BG159" s="18">
        <v>-2000</v>
      </c>
      <c r="BH159" s="18">
        <f t="shared" si="387"/>
        <v>5000</v>
      </c>
      <c r="BJ159" s="18">
        <v>4476</v>
      </c>
      <c r="BK159" s="279">
        <f t="shared" si="388"/>
        <v>0.8952</v>
      </c>
      <c r="BM159" s="289">
        <v>5000</v>
      </c>
      <c r="BN159" s="279">
        <f t="shared" si="389"/>
        <v>1.1170688114387846</v>
      </c>
      <c r="BO159" s="279">
        <f t="shared" si="402"/>
        <v>1</v>
      </c>
      <c r="BQ159" s="289"/>
      <c r="BR159" s="18">
        <f t="shared" ref="BR159:BR160" si="404">BM159+BQ159</f>
        <v>5000</v>
      </c>
      <c r="BT159" s="289"/>
      <c r="BU159" s="18">
        <f t="shared" si="391"/>
        <v>5000</v>
      </c>
      <c r="BW159" s="289"/>
      <c r="BX159" s="18">
        <f t="shared" si="392"/>
        <v>5000</v>
      </c>
      <c r="BZ159" s="289"/>
      <c r="CA159" s="18">
        <f t="shared" si="393"/>
        <v>5000</v>
      </c>
      <c r="CC159" s="289"/>
      <c r="CD159" s="18">
        <f t="shared" si="394"/>
        <v>5000</v>
      </c>
      <c r="CF159" s="327">
        <v>5000</v>
      </c>
      <c r="CG159" s="18">
        <f t="shared" si="395"/>
        <v>10000</v>
      </c>
      <c r="CI159" s="327"/>
      <c r="CJ159" s="18">
        <f t="shared" si="396"/>
        <v>10000</v>
      </c>
      <c r="CM159" s="18">
        <f t="shared" si="397"/>
        <v>10000</v>
      </c>
      <c r="CO159" s="327"/>
      <c r="CP159" s="18">
        <f t="shared" si="398"/>
        <v>10000</v>
      </c>
      <c r="CR159" s="327"/>
      <c r="CS159" s="18">
        <f t="shared" si="399"/>
        <v>10000</v>
      </c>
      <c r="CU159" s="327"/>
      <c r="CV159" s="18">
        <f t="shared" si="400"/>
        <v>10000</v>
      </c>
      <c r="CX159" s="327"/>
      <c r="CY159" s="18">
        <f t="shared" si="401"/>
        <v>10000</v>
      </c>
      <c r="DA159" s="327">
        <v>9054</v>
      </c>
      <c r="DC159" s="327">
        <v>5000</v>
      </c>
    </row>
    <row r="160" spans="1:107" outlineLevel="1">
      <c r="A160" s="14" t="s">
        <v>73</v>
      </c>
      <c r="B160" s="14" t="s">
        <v>201</v>
      </c>
      <c r="C160" s="4" t="s">
        <v>202</v>
      </c>
      <c r="D160" s="52">
        <v>0</v>
      </c>
      <c r="E160" s="37">
        <v>0</v>
      </c>
      <c r="F160" s="52">
        <v>200000</v>
      </c>
      <c r="G160" s="37">
        <v>96.52</v>
      </c>
      <c r="H160" s="56">
        <v>193048</v>
      </c>
      <c r="I160" s="40">
        <v>193048</v>
      </c>
      <c r="J160" s="17"/>
      <c r="L160" s="134">
        <v>0</v>
      </c>
      <c r="M160" s="20">
        <f t="shared" si="370"/>
        <v>-1</v>
      </c>
      <c r="N160" s="20">
        <f t="shared" si="371"/>
        <v>-1</v>
      </c>
      <c r="Q160" s="134">
        <v>55000</v>
      </c>
      <c r="R160" s="18">
        <v>51375</v>
      </c>
      <c r="S160" s="134">
        <v>51500</v>
      </c>
      <c r="T160" s="18">
        <f t="shared" si="377"/>
        <v>-3500</v>
      </c>
      <c r="U160" s="19">
        <f t="shared" si="378"/>
        <v>-6.3636363636363602E-2</v>
      </c>
      <c r="Y160" s="134">
        <v>51500</v>
      </c>
      <c r="AA160" s="134">
        <v>51400</v>
      </c>
      <c r="AB160" s="216">
        <f t="shared" si="379"/>
        <v>-100</v>
      </c>
      <c r="AC160" s="219">
        <f t="shared" si="403"/>
        <v>-100</v>
      </c>
      <c r="AD160" s="219"/>
      <c r="AE160" s="134">
        <v>51400</v>
      </c>
      <c r="AF160" s="213"/>
      <c r="AH160" s="18">
        <v>51375</v>
      </c>
      <c r="AI160" s="20">
        <f t="shared" si="381"/>
        <v>0.9995136186770428</v>
      </c>
      <c r="AK160" s="214">
        <f>'[3]2020'!$AM$64+'[3]2020'!$AM$60+500</f>
        <v>72000</v>
      </c>
      <c r="AS160" s="18">
        <f t="shared" si="382"/>
        <v>72000</v>
      </c>
      <c r="AV160" s="18">
        <f t="shared" si="383"/>
        <v>72000</v>
      </c>
      <c r="AX160" s="18"/>
      <c r="AY160" s="18">
        <f t="shared" si="384"/>
        <v>72000</v>
      </c>
      <c r="BB160" s="18">
        <f t="shared" si="385"/>
        <v>72000</v>
      </c>
      <c r="BD160" s="18">
        <v>-22000</v>
      </c>
      <c r="BE160" s="18">
        <f t="shared" si="386"/>
        <v>50000</v>
      </c>
      <c r="BG160" s="18">
        <v>-2500</v>
      </c>
      <c r="BH160" s="18">
        <f t="shared" si="387"/>
        <v>47500</v>
      </c>
      <c r="BJ160" s="18">
        <v>47069</v>
      </c>
      <c r="BK160" s="279">
        <f t="shared" si="388"/>
        <v>0.99092631578947366</v>
      </c>
      <c r="BM160" s="348">
        <f>1590000+35400</f>
        <v>1625400</v>
      </c>
      <c r="BN160" s="279">
        <f t="shared" si="389"/>
        <v>34.532282393932313</v>
      </c>
      <c r="BO160" s="279">
        <f t="shared" si="402"/>
        <v>34.218947368421055</v>
      </c>
      <c r="BQ160" s="289"/>
      <c r="BR160" s="18">
        <f t="shared" si="404"/>
        <v>1625400</v>
      </c>
      <c r="BT160" s="289"/>
      <c r="BU160" s="18">
        <f t="shared" si="391"/>
        <v>1625400</v>
      </c>
      <c r="BW160" s="289">
        <v>60000</v>
      </c>
      <c r="BX160" s="18">
        <f t="shared" si="392"/>
        <v>1685400</v>
      </c>
      <c r="BZ160" s="289"/>
      <c r="CA160" s="18">
        <f t="shared" si="393"/>
        <v>1685400</v>
      </c>
      <c r="CC160" s="289"/>
      <c r="CD160" s="18">
        <f t="shared" si="394"/>
        <v>1685400</v>
      </c>
      <c r="CF160" s="327">
        <v>-954000</v>
      </c>
      <c r="CG160" s="18">
        <f t="shared" si="395"/>
        <v>731400</v>
      </c>
      <c r="CI160" s="349">
        <v>-500</v>
      </c>
      <c r="CJ160" s="18">
        <f t="shared" si="396"/>
        <v>730900</v>
      </c>
      <c r="CM160" s="18">
        <f t="shared" si="397"/>
        <v>730900</v>
      </c>
      <c r="CO160" s="327"/>
      <c r="CP160" s="18">
        <f t="shared" si="398"/>
        <v>730900</v>
      </c>
      <c r="CR160" s="327"/>
      <c r="CS160" s="18">
        <f t="shared" si="399"/>
        <v>730900</v>
      </c>
      <c r="CU160" s="349">
        <v>119100</v>
      </c>
      <c r="CV160" s="18">
        <f t="shared" si="400"/>
        <v>850000</v>
      </c>
      <c r="CX160" s="349"/>
      <c r="CY160" s="18">
        <f t="shared" si="401"/>
        <v>850000</v>
      </c>
      <c r="DA160" s="327">
        <v>850540</v>
      </c>
      <c r="DC160" s="327">
        <v>61700</v>
      </c>
    </row>
    <row r="161" spans="1:189" outlineLevel="1">
      <c r="A161" s="381" t="s">
        <v>73</v>
      </c>
      <c r="B161" s="381" t="s">
        <v>212</v>
      </c>
      <c r="C161" s="4" t="s">
        <v>213</v>
      </c>
      <c r="D161" s="52"/>
      <c r="E161" s="37"/>
      <c r="F161" s="52"/>
      <c r="G161" s="37"/>
      <c r="H161" s="56"/>
      <c r="I161" s="40"/>
      <c r="J161" s="17"/>
      <c r="M161" s="20"/>
      <c r="N161" s="20"/>
      <c r="U161" s="19"/>
      <c r="Y161" s="134"/>
      <c r="AB161" s="216"/>
      <c r="AC161" s="219"/>
      <c r="AD161" s="219"/>
      <c r="AF161" s="213"/>
      <c r="AH161" s="18"/>
      <c r="AI161" s="20"/>
      <c r="AK161" s="214"/>
      <c r="AS161" s="18"/>
      <c r="AV161" s="18"/>
      <c r="AX161" s="18"/>
      <c r="AY161" s="18"/>
      <c r="BB161" s="18"/>
      <c r="BD161" s="18"/>
      <c r="BE161" s="18"/>
      <c r="BG161" s="18"/>
      <c r="BH161" s="18"/>
      <c r="BK161" s="279"/>
      <c r="BM161" s="348"/>
      <c r="BN161" s="279"/>
      <c r="BO161" s="279"/>
      <c r="BQ161" s="289"/>
      <c r="BR161" s="18"/>
      <c r="BT161" s="289"/>
      <c r="BU161" s="18"/>
      <c r="BW161" s="289"/>
      <c r="BX161" s="18"/>
      <c r="BZ161" s="289"/>
      <c r="CA161" s="18"/>
      <c r="CC161" s="289"/>
      <c r="CD161" s="18"/>
      <c r="CF161" s="327">
        <v>954000</v>
      </c>
      <c r="CG161" s="18">
        <f t="shared" si="395"/>
        <v>954000</v>
      </c>
      <c r="CH161" s="206">
        <v>332</v>
      </c>
      <c r="CI161" s="349">
        <v>500</v>
      </c>
      <c r="CJ161" s="18">
        <f t="shared" si="396"/>
        <v>954500</v>
      </c>
      <c r="CL161" s="327">
        <v>1000</v>
      </c>
      <c r="CM161" s="18">
        <f t="shared" si="397"/>
        <v>955500</v>
      </c>
      <c r="CO161" s="327"/>
      <c r="CP161" s="18">
        <f t="shared" si="398"/>
        <v>955500</v>
      </c>
      <c r="CR161" s="327"/>
      <c r="CS161" s="18">
        <f t="shared" si="399"/>
        <v>955500</v>
      </c>
      <c r="CU161" s="327"/>
      <c r="CV161" s="18">
        <f t="shared" si="400"/>
        <v>955500</v>
      </c>
      <c r="CX161" s="327"/>
      <c r="CY161" s="18">
        <f t="shared" si="401"/>
        <v>955500</v>
      </c>
      <c r="DA161" s="327">
        <v>954332</v>
      </c>
      <c r="DC161" s="327">
        <v>0</v>
      </c>
    </row>
    <row r="162" spans="1:189" outlineLevel="1">
      <c r="A162" s="406" t="s">
        <v>73</v>
      </c>
      <c r="B162" s="406" t="s">
        <v>571</v>
      </c>
      <c r="C162" s="4" t="s">
        <v>572</v>
      </c>
      <c r="D162" s="52"/>
      <c r="E162" s="37"/>
      <c r="F162" s="52"/>
      <c r="G162" s="37"/>
      <c r="H162" s="56"/>
      <c r="I162" s="40"/>
      <c r="J162" s="17"/>
      <c r="M162" s="20"/>
      <c r="N162" s="20"/>
      <c r="U162" s="19"/>
      <c r="Y162" s="134"/>
      <c r="AB162" s="216"/>
      <c r="AC162" s="219"/>
      <c r="AD162" s="219"/>
      <c r="AF162" s="213"/>
      <c r="AH162" s="18"/>
      <c r="AI162" s="20"/>
      <c r="AK162" s="214"/>
      <c r="AS162" s="18"/>
      <c r="AV162" s="18"/>
      <c r="AX162" s="18"/>
      <c r="AY162" s="18"/>
      <c r="BB162" s="18"/>
      <c r="BD162" s="18"/>
      <c r="BE162" s="18"/>
      <c r="BG162" s="18"/>
      <c r="BH162" s="18"/>
      <c r="BK162" s="279"/>
      <c r="BM162" s="348"/>
      <c r="BN162" s="279"/>
      <c r="BO162" s="279"/>
      <c r="BQ162" s="289"/>
      <c r="BR162" s="18"/>
      <c r="BT162" s="289"/>
      <c r="BU162" s="18"/>
      <c r="BW162" s="289"/>
      <c r="BX162" s="18"/>
      <c r="BZ162" s="289"/>
      <c r="CA162" s="18"/>
      <c r="CC162" s="289"/>
      <c r="CD162" s="18"/>
      <c r="CF162" s="327"/>
      <c r="CG162" s="18"/>
      <c r="CI162" s="349"/>
      <c r="CJ162" s="18"/>
      <c r="CM162" s="18"/>
      <c r="CO162" s="327"/>
      <c r="CP162" s="18"/>
      <c r="CR162" s="349">
        <v>242000</v>
      </c>
      <c r="CS162" s="18">
        <f t="shared" si="399"/>
        <v>242000</v>
      </c>
      <c r="CU162" s="327"/>
      <c r="CV162" s="18">
        <f t="shared" si="400"/>
        <v>242000</v>
      </c>
      <c r="CX162" s="327"/>
      <c r="CY162" s="18">
        <f t="shared" si="401"/>
        <v>242000</v>
      </c>
      <c r="DA162" s="327">
        <v>241650</v>
      </c>
      <c r="DC162" s="327">
        <v>100000</v>
      </c>
    </row>
    <row r="163" spans="1:189" outlineLevel="1">
      <c r="A163" s="14" t="s">
        <v>73</v>
      </c>
      <c r="B163" s="4" t="s">
        <v>46</v>
      </c>
      <c r="C163" s="4" t="s">
        <v>75</v>
      </c>
      <c r="D163" s="52">
        <v>789200</v>
      </c>
      <c r="E163" s="37">
        <v>89.68</v>
      </c>
      <c r="F163" s="52">
        <v>999285</v>
      </c>
      <c r="G163" s="37">
        <v>70.83</v>
      </c>
      <c r="H163" s="56">
        <v>707780.43</v>
      </c>
      <c r="I163" s="40"/>
      <c r="J163" s="17"/>
      <c r="Y163" s="134"/>
      <c r="AF163" s="213"/>
      <c r="AH163" s="18"/>
      <c r="AX163" s="18"/>
      <c r="BD163" s="18"/>
      <c r="BG163" s="18"/>
      <c r="CO163" s="327"/>
      <c r="CR163" s="327"/>
      <c r="CU163" s="327"/>
      <c r="CX163" s="327"/>
      <c r="DA163" s="327"/>
      <c r="DC163" s="327"/>
    </row>
    <row r="164" spans="1:189" outlineLevel="1">
      <c r="A164" s="14" t="s">
        <v>76</v>
      </c>
      <c r="B164" s="4" t="s">
        <v>48</v>
      </c>
      <c r="C164" s="4" t="s">
        <v>77</v>
      </c>
      <c r="D164" s="52">
        <v>789200</v>
      </c>
      <c r="E164" s="37">
        <v>89.68</v>
      </c>
      <c r="F164" s="52">
        <v>999285</v>
      </c>
      <c r="G164" s="37">
        <v>70.83</v>
      </c>
      <c r="H164" s="56">
        <v>707780.43</v>
      </c>
      <c r="I164" s="40"/>
      <c r="J164" s="17"/>
      <c r="Y164" s="134"/>
      <c r="AF164" s="213"/>
      <c r="AH164" s="18"/>
      <c r="AX164" s="18"/>
      <c r="BD164" s="18"/>
      <c r="BG164" s="18"/>
    </row>
    <row r="165" spans="1:189" ht="15.75" thickBot="1">
      <c r="A165" s="70" t="s">
        <v>73</v>
      </c>
      <c r="B165" s="71" t="s">
        <v>320</v>
      </c>
      <c r="C165" s="338" t="s">
        <v>346</v>
      </c>
      <c r="D165" s="73">
        <f>SUM(D143:D160)</f>
        <v>789200</v>
      </c>
      <c r="E165" s="74"/>
      <c r="F165" s="73">
        <f>SUM(F143:F160)</f>
        <v>999285</v>
      </c>
      <c r="G165" s="74"/>
      <c r="H165" s="73"/>
      <c r="I165" s="73">
        <f>SUM(I143:I160)</f>
        <v>732929.8</v>
      </c>
      <c r="J165" s="156" t="e">
        <f>I165/$I$304</f>
        <v>#REF!</v>
      </c>
      <c r="K165" s="76"/>
      <c r="L165" s="138">
        <f>SUM(L143:L159)</f>
        <v>872000</v>
      </c>
      <c r="M165" s="77">
        <f t="shared" ref="M165:M197" si="405">L165/F165-1</f>
        <v>-0.12737607389283334</v>
      </c>
      <c r="N165" s="77">
        <f t="shared" ref="N165:N197" si="406">L165/I165-1</f>
        <v>0.18974559364348398</v>
      </c>
      <c r="O165" s="20">
        <f>L165/$L$304</f>
        <v>0.20232018937021234</v>
      </c>
      <c r="P165" s="20"/>
      <c r="Q165" s="138">
        <f>SUM(Q143:Q159)</f>
        <v>812280</v>
      </c>
      <c r="R165" s="138">
        <f>SUM(R143:R160)</f>
        <v>328179</v>
      </c>
      <c r="S165" s="138">
        <f>SUM(S143:S159)</f>
        <v>576500</v>
      </c>
      <c r="T165" s="138">
        <f>SUM(T143:T160)</f>
        <v>-239280</v>
      </c>
      <c r="U165" s="175">
        <f>S165/Q165-1</f>
        <v>-0.2902693652435121</v>
      </c>
      <c r="Y165" s="138">
        <f>SUM(Y143:Y159)</f>
        <v>576500</v>
      </c>
      <c r="AA165" s="138">
        <f>SUM(AA143:AA159)</f>
        <v>668500</v>
      </c>
      <c r="AB165" s="138">
        <f>SUM(AB143:AB159)</f>
        <v>92000</v>
      </c>
      <c r="AE165" s="138">
        <f>SUM(AE143:AE159)</f>
        <v>671600</v>
      </c>
      <c r="AF165" s="213"/>
      <c r="AH165" s="138">
        <f>SUM(AH143:AH159)</f>
        <v>622913.98</v>
      </c>
      <c r="AI165" s="20">
        <f t="shared" ref="AI165:AI167" si="407">AH165/AE165</f>
        <v>0.92750741512805235</v>
      </c>
      <c r="AK165" s="138">
        <f>SUM(AK143:AK159)</f>
        <v>688600</v>
      </c>
      <c r="AL165" s="229">
        <f t="shared" ref="AL165:AL167" si="408">AK165/L165</f>
        <v>0.78967889908256883</v>
      </c>
      <c r="AM165" s="20">
        <f t="shared" ref="AM165:AM167" si="409">AK165/AE165</f>
        <v>1.025312686122692</v>
      </c>
      <c r="AN165" s="20">
        <f t="shared" ref="AN165:AN167" si="410">AK165/AH165</f>
        <v>1.1054495839056302</v>
      </c>
      <c r="AS165" s="138">
        <f>SUM(AS143:AS159)</f>
        <v>688600</v>
      </c>
      <c r="AU165" s="138">
        <f>SUM(AU143:AU159)</f>
        <v>0</v>
      </c>
      <c r="AV165" s="138">
        <f>SUM(AV143:AV159)</f>
        <v>688600</v>
      </c>
      <c r="AX165" s="138">
        <f>SUM(AX143:AX159)</f>
        <v>0</v>
      </c>
      <c r="AY165" s="138">
        <f>SUM(AY143:AY159)</f>
        <v>688600</v>
      </c>
      <c r="BA165" s="138">
        <f>SUM(BA143:BA159)</f>
        <v>-2000</v>
      </c>
      <c r="BB165" s="138">
        <f>SUM(BB143:BB159)</f>
        <v>686600</v>
      </c>
      <c r="BD165" s="138">
        <f>SUM(BD143:BD159)</f>
        <v>157500</v>
      </c>
      <c r="BE165" s="138">
        <f>SUM(BE143:BE159)</f>
        <v>844100</v>
      </c>
      <c r="BG165" s="138">
        <f>SUM(BG143:BG159)</f>
        <v>-3000</v>
      </c>
      <c r="BH165" s="138">
        <f>SUM(BH143:BH159)</f>
        <v>841100</v>
      </c>
      <c r="BJ165" s="138">
        <f>SUM(BJ143:BJ159)</f>
        <v>779121.03</v>
      </c>
      <c r="BK165" s="280">
        <f t="shared" ref="BK165:BK167" si="411">BJ165/BH165</f>
        <v>0.92631200808465108</v>
      </c>
      <c r="BM165" s="138">
        <f>SUM(BM143:BM159)</f>
        <v>789650</v>
      </c>
      <c r="BN165" s="280">
        <f t="shared" ref="BN165:BN167" si="412">BM165/BJ165</f>
        <v>1.0135139081023137</v>
      </c>
      <c r="BO165" s="280">
        <f t="shared" ref="BO165:BO167" si="413">BM165/BH165</f>
        <v>0.93883010343597673</v>
      </c>
      <c r="BQ165" s="138">
        <f>SUM(BQ143:BQ159)</f>
        <v>35400</v>
      </c>
      <c r="BR165" s="138">
        <f>SUM(BR143:BR159)</f>
        <v>825050</v>
      </c>
      <c r="BT165" s="138">
        <f>SUM(BT143:BT159)</f>
        <v>0</v>
      </c>
      <c r="BU165" s="138">
        <f>SUM(BU143:BU159)</f>
        <v>825050</v>
      </c>
      <c r="BW165" s="138">
        <f>SUM(BW143:BW159)</f>
        <v>0</v>
      </c>
      <c r="BX165" s="138">
        <f>SUM(BX143:BX159)</f>
        <v>825050</v>
      </c>
      <c r="BZ165" s="138">
        <f>SUM(BZ143:BZ159)</f>
        <v>0</v>
      </c>
      <c r="CA165" s="138">
        <f>SUM(CA143:CA159)</f>
        <v>825050</v>
      </c>
      <c r="CC165" s="138">
        <f>SUM(CC143:CC159)</f>
        <v>241888.89</v>
      </c>
      <c r="CD165" s="138">
        <f>SUM(CD143:CD159)</f>
        <v>1066938.8900000001</v>
      </c>
      <c r="CF165" s="138">
        <f>SUM(CF143:CF159)</f>
        <v>45000</v>
      </c>
      <c r="CG165" s="138">
        <f>SUM(CG143:CG159)</f>
        <v>1111938.8900000001</v>
      </c>
      <c r="CI165" s="138">
        <f>SUM(CI143:CI159)</f>
        <v>-19000</v>
      </c>
      <c r="CJ165" s="138">
        <f>SUM(CJ143:CJ159)</f>
        <v>1092938.8900000001</v>
      </c>
      <c r="CL165" s="391">
        <f>SUM(CL143:CL159)</f>
        <v>34000</v>
      </c>
      <c r="CM165" s="138">
        <f>SUM(CM143:CM159)</f>
        <v>1126938.8900000001</v>
      </c>
      <c r="CO165" s="138">
        <f>SUM(CO143:CO159)</f>
        <v>65500</v>
      </c>
      <c r="CP165" s="138">
        <f>SUM(CP143:CP159)</f>
        <v>1192438.8900000001</v>
      </c>
      <c r="CR165" s="138">
        <f>SUM(CR143:CR159)</f>
        <v>0</v>
      </c>
      <c r="CS165" s="138">
        <f>SUM(CS143:CS159)</f>
        <v>1192438.8900000001</v>
      </c>
      <c r="CU165" s="138">
        <f>SUM(CU143:CU159)</f>
        <v>-235100</v>
      </c>
      <c r="CV165" s="138">
        <f>SUM(CV143:CV159)</f>
        <v>957338.89</v>
      </c>
      <c r="CX165" s="138">
        <f>SUM(CX143:CX159)</f>
        <v>0</v>
      </c>
      <c r="CY165" s="138">
        <f>SUM(CY143:CY159)</f>
        <v>957338.89</v>
      </c>
      <c r="DA165" s="138">
        <f>SUM(DA143:DA159)</f>
        <v>951632.21</v>
      </c>
      <c r="DC165" s="138">
        <f>SUM(DC143:DC159)</f>
        <v>1022848</v>
      </c>
    </row>
    <row r="166" spans="1:189" ht="16.5" thickTop="1" thickBot="1">
      <c r="A166" s="80" t="s">
        <v>73</v>
      </c>
      <c r="B166" s="81" t="s">
        <v>362</v>
      </c>
      <c r="C166" s="339" t="s">
        <v>347</v>
      </c>
      <c r="D166" s="82">
        <f>D156</f>
        <v>40000</v>
      </c>
      <c r="E166" s="83"/>
      <c r="F166" s="82">
        <f>F156</f>
        <v>40000</v>
      </c>
      <c r="G166" s="83"/>
      <c r="H166" s="82"/>
      <c r="I166" s="82">
        <f>I156</f>
        <v>35000</v>
      </c>
      <c r="J166" s="84"/>
      <c r="K166" s="85"/>
      <c r="L166" s="139">
        <f>L156</f>
        <v>38000</v>
      </c>
      <c r="M166" s="86">
        <f t="shared" si="405"/>
        <v>-5.0000000000000044E-2</v>
      </c>
      <c r="N166" s="86">
        <f t="shared" si="406"/>
        <v>8.5714285714285632E-2</v>
      </c>
      <c r="Q166" s="139">
        <f>Q156</f>
        <v>43400</v>
      </c>
      <c r="R166" s="139">
        <f>R156</f>
        <v>43363</v>
      </c>
      <c r="S166" s="139">
        <f>S156</f>
        <v>55000</v>
      </c>
      <c r="T166" s="139">
        <f>T156</f>
        <v>11600</v>
      </c>
      <c r="U166" s="175">
        <f>S166/Q166-1</f>
        <v>0.26728110599078336</v>
      </c>
      <c r="Y166" s="139">
        <f>Y156</f>
        <v>55000</v>
      </c>
      <c r="AA166" s="139">
        <f>AA156</f>
        <v>70000</v>
      </c>
      <c r="AB166" s="139">
        <f>AB156</f>
        <v>15000</v>
      </c>
      <c r="AE166" s="139">
        <f>AE156</f>
        <v>70000</v>
      </c>
      <c r="AF166" s="213"/>
      <c r="AH166" s="139">
        <f>AH156</f>
        <v>62672.5</v>
      </c>
      <c r="AI166" s="20">
        <f t="shared" si="407"/>
        <v>0.8953214285714286</v>
      </c>
      <c r="AK166" s="139">
        <f>AK156</f>
        <v>75000</v>
      </c>
      <c r="AL166" s="229">
        <f t="shared" si="408"/>
        <v>1.9736842105263157</v>
      </c>
      <c r="AM166" s="20">
        <f t="shared" si="409"/>
        <v>1.0714285714285714</v>
      </c>
      <c r="AN166" s="20">
        <f t="shared" si="410"/>
        <v>1.1966971159599504</v>
      </c>
      <c r="AS166" s="139">
        <f>AS156</f>
        <v>75000</v>
      </c>
      <c r="AU166" s="139">
        <f>AU156</f>
        <v>0</v>
      </c>
      <c r="AV166" s="139">
        <f>AV156</f>
        <v>75000</v>
      </c>
      <c r="AX166" s="139">
        <f>AX156</f>
        <v>0</v>
      </c>
      <c r="AY166" s="139">
        <f>AY156</f>
        <v>75000</v>
      </c>
      <c r="BA166" s="139">
        <f>BA156</f>
        <v>0</v>
      </c>
      <c r="BB166" s="139">
        <f>BB156</f>
        <v>75000</v>
      </c>
      <c r="BD166" s="139">
        <f>BD156</f>
        <v>15000</v>
      </c>
      <c r="BE166" s="139">
        <f>BE156</f>
        <v>90000</v>
      </c>
      <c r="BG166" s="139">
        <f>BG156</f>
        <v>0</v>
      </c>
      <c r="BH166" s="139">
        <f>BH156</f>
        <v>90000</v>
      </c>
      <c r="BJ166" s="139">
        <f>BJ156</f>
        <v>89299.44</v>
      </c>
      <c r="BK166" s="280">
        <f t="shared" si="411"/>
        <v>0.99221599999999999</v>
      </c>
      <c r="BM166" s="139">
        <f>BM156</f>
        <v>70000</v>
      </c>
      <c r="BN166" s="280">
        <f t="shared" si="412"/>
        <v>0.78387949577287386</v>
      </c>
      <c r="BO166" s="280">
        <f t="shared" si="413"/>
        <v>0.77777777777777779</v>
      </c>
      <c r="BQ166" s="139">
        <f>BQ156</f>
        <v>0</v>
      </c>
      <c r="BR166" s="139">
        <f>BR156</f>
        <v>70000</v>
      </c>
      <c r="BT166" s="139">
        <f>BT156</f>
        <v>0</v>
      </c>
      <c r="BU166" s="139">
        <f>BU156</f>
        <v>70000</v>
      </c>
      <c r="BW166" s="139">
        <f>BW156</f>
        <v>0</v>
      </c>
      <c r="BX166" s="139">
        <f>BX156</f>
        <v>70000</v>
      </c>
      <c r="BZ166" s="139">
        <f>BZ156</f>
        <v>0</v>
      </c>
      <c r="CA166" s="139">
        <f>CA156</f>
        <v>70000</v>
      </c>
      <c r="CC166" s="139">
        <f>CC156</f>
        <v>0</v>
      </c>
      <c r="CD166" s="139">
        <f>CD156</f>
        <v>70000</v>
      </c>
      <c r="CF166" s="139">
        <f>CF156</f>
        <v>0</v>
      </c>
      <c r="CG166" s="139">
        <f>CG156</f>
        <v>70000</v>
      </c>
      <c r="CI166" s="139">
        <f>CI156</f>
        <v>-22000</v>
      </c>
      <c r="CJ166" s="139">
        <f>CJ156</f>
        <v>48000</v>
      </c>
      <c r="CL166" s="391">
        <f>CL156</f>
        <v>0</v>
      </c>
      <c r="CM166" s="139">
        <f>CM156</f>
        <v>48000</v>
      </c>
      <c r="CO166" s="139">
        <f>CO156</f>
        <v>0</v>
      </c>
      <c r="CP166" s="139">
        <f>CP156</f>
        <v>48000</v>
      </c>
      <c r="CR166" s="139">
        <f>CR156</f>
        <v>0</v>
      </c>
      <c r="CS166" s="139">
        <f>CS156</f>
        <v>48000</v>
      </c>
      <c r="CU166" s="139">
        <f>CU156</f>
        <v>5000</v>
      </c>
      <c r="CV166" s="139">
        <f>CV156</f>
        <v>53000</v>
      </c>
      <c r="CX166" s="139">
        <f>CX156</f>
        <v>0</v>
      </c>
      <c r="CY166" s="139">
        <f>CY156</f>
        <v>53000</v>
      </c>
      <c r="DA166" s="139">
        <f>DA156</f>
        <v>52726</v>
      </c>
      <c r="DC166" s="139">
        <f>DC156</f>
        <v>75048</v>
      </c>
    </row>
    <row r="167" spans="1:189" ht="16.5" thickTop="1" thickBot="1">
      <c r="A167" s="91" t="s">
        <v>73</v>
      </c>
      <c r="B167" s="92" t="s">
        <v>281</v>
      </c>
      <c r="C167" s="340" t="s">
        <v>348</v>
      </c>
      <c r="D167" s="94">
        <f>D160</f>
        <v>0</v>
      </c>
      <c r="E167" s="95"/>
      <c r="F167" s="94">
        <f>F160</f>
        <v>200000</v>
      </c>
      <c r="G167" s="95"/>
      <c r="H167" s="94"/>
      <c r="I167" s="94">
        <f>I160</f>
        <v>193048</v>
      </c>
      <c r="J167" s="96"/>
      <c r="K167" s="93"/>
      <c r="L167" s="140">
        <f>L160</f>
        <v>0</v>
      </c>
      <c r="M167" s="97">
        <f t="shared" si="405"/>
        <v>-1</v>
      </c>
      <c r="N167" s="97">
        <f t="shared" si="406"/>
        <v>-1</v>
      </c>
      <c r="Q167" s="140">
        <f>Q160</f>
        <v>55000</v>
      </c>
      <c r="R167" s="140">
        <f>R160</f>
        <v>51375</v>
      </c>
      <c r="S167" s="140">
        <f>S160</f>
        <v>51500</v>
      </c>
      <c r="T167" s="140">
        <f>T160</f>
        <v>-3500</v>
      </c>
      <c r="U167" s="176">
        <f>S167/Q167-1</f>
        <v>-6.3636363636363602E-2</v>
      </c>
      <c r="Y167" s="140">
        <f>Y160</f>
        <v>51500</v>
      </c>
      <c r="AA167" s="140">
        <f>AA160</f>
        <v>51400</v>
      </c>
      <c r="AB167" s="140">
        <f>AB160</f>
        <v>-100</v>
      </c>
      <c r="AE167" s="140">
        <f>AE160</f>
        <v>51400</v>
      </c>
      <c r="AF167" s="213"/>
      <c r="AH167" s="140">
        <f>AH160</f>
        <v>51375</v>
      </c>
      <c r="AI167" s="20">
        <f t="shared" si="407"/>
        <v>0.9995136186770428</v>
      </c>
      <c r="AK167" s="140">
        <f>AK160</f>
        <v>72000</v>
      </c>
      <c r="AL167" s="229" t="e">
        <f t="shared" si="408"/>
        <v>#DIV/0!</v>
      </c>
      <c r="AM167" s="20">
        <f t="shared" si="409"/>
        <v>1.4007782101167314</v>
      </c>
      <c r="AN167" s="20">
        <f t="shared" si="410"/>
        <v>1.4014598540145986</v>
      </c>
      <c r="AS167" s="140">
        <f>AS160</f>
        <v>72000</v>
      </c>
      <c r="AU167" s="140">
        <f>AU160</f>
        <v>0</v>
      </c>
      <c r="AV167" s="140">
        <f>AV160</f>
        <v>72000</v>
      </c>
      <c r="AX167" s="140">
        <f>AX160</f>
        <v>0</v>
      </c>
      <c r="AY167" s="140">
        <f>AY160</f>
        <v>72000</v>
      </c>
      <c r="BA167" s="140">
        <f>BA160</f>
        <v>0</v>
      </c>
      <c r="BB167" s="140">
        <f>BB160</f>
        <v>72000</v>
      </c>
      <c r="BD167" s="140">
        <f>BD160</f>
        <v>-22000</v>
      </c>
      <c r="BE167" s="140">
        <f>BE160</f>
        <v>50000</v>
      </c>
      <c r="BG167" s="140">
        <f>BG160</f>
        <v>-2500</v>
      </c>
      <c r="BH167" s="140">
        <f>BH160</f>
        <v>47500</v>
      </c>
      <c r="BJ167" s="140">
        <f>BJ160</f>
        <v>47069</v>
      </c>
      <c r="BK167" s="281">
        <f t="shared" si="411"/>
        <v>0.99092631578947366</v>
      </c>
      <c r="BM167" s="140">
        <f>BM160</f>
        <v>1625400</v>
      </c>
      <c r="BN167" s="281">
        <f t="shared" si="412"/>
        <v>34.532282393932313</v>
      </c>
      <c r="BO167" s="281">
        <f t="shared" si="413"/>
        <v>34.218947368421055</v>
      </c>
      <c r="BQ167" s="140">
        <f>BQ160</f>
        <v>0</v>
      </c>
      <c r="BR167" s="140">
        <f>BR160</f>
        <v>1625400</v>
      </c>
      <c r="BT167" s="140">
        <f>BT160</f>
        <v>0</v>
      </c>
      <c r="BU167" s="140">
        <f>BU160</f>
        <v>1625400</v>
      </c>
      <c r="BW167" s="140">
        <f>BW160</f>
        <v>60000</v>
      </c>
      <c r="BX167" s="140">
        <f>BX160</f>
        <v>1685400</v>
      </c>
      <c r="BZ167" s="140">
        <f>BZ160</f>
        <v>0</v>
      </c>
      <c r="CA167" s="140">
        <f>CA160</f>
        <v>1685400</v>
      </c>
      <c r="CC167" s="140">
        <f>CC160</f>
        <v>0</v>
      </c>
      <c r="CD167" s="140">
        <f>CD160</f>
        <v>1685400</v>
      </c>
      <c r="CF167" s="140">
        <f>CF160+CF161</f>
        <v>0</v>
      </c>
      <c r="CG167" s="140">
        <f>CG160+CG161</f>
        <v>1685400</v>
      </c>
      <c r="CI167" s="140">
        <f>CI160+CI161</f>
        <v>0</v>
      </c>
      <c r="CJ167" s="140">
        <f>CJ160+CJ161</f>
        <v>1685400</v>
      </c>
      <c r="CL167" s="391">
        <f>CL160+CL161</f>
        <v>1000</v>
      </c>
      <c r="CM167" s="140">
        <f>CM160+CM161</f>
        <v>1686400</v>
      </c>
      <c r="CO167" s="140">
        <f>CO160+CO161</f>
        <v>0</v>
      </c>
      <c r="CP167" s="140">
        <f>CP160+CP161</f>
        <v>1686400</v>
      </c>
      <c r="CR167" s="140">
        <f>CR160+CR161+CR162</f>
        <v>242000</v>
      </c>
      <c r="CS167" s="140">
        <f>CS160+CS161+CS162</f>
        <v>1928400</v>
      </c>
      <c r="CU167" s="140">
        <f>CU160+CU161+CU162</f>
        <v>119100</v>
      </c>
      <c r="CV167" s="140">
        <f>CV160+CV161+CV162</f>
        <v>2047500</v>
      </c>
      <c r="CX167" s="140">
        <f>CX160+CX161+CX162</f>
        <v>0</v>
      </c>
      <c r="CY167" s="140">
        <f>CY160+CY161+CY162</f>
        <v>2047500</v>
      </c>
      <c r="DA167" s="140">
        <f>DA160+DA161+DA162</f>
        <v>2046522</v>
      </c>
      <c r="DC167" s="140">
        <f>DC160+DC161+DC162</f>
        <v>161700</v>
      </c>
    </row>
    <row r="168" spans="1:189" s="206" customFormat="1" ht="15.75" outlineLevel="1" thickTop="1">
      <c r="A168" s="48" t="s">
        <v>402</v>
      </c>
      <c r="B168" s="201" t="s">
        <v>403</v>
      </c>
      <c r="C168" s="67" t="s">
        <v>404</v>
      </c>
      <c r="D168" s="39"/>
      <c r="E168" s="202"/>
      <c r="F168" s="39"/>
      <c r="G168" s="202"/>
      <c r="H168" s="39"/>
      <c r="I168" s="39"/>
      <c r="J168" s="203"/>
      <c r="K168" s="204"/>
      <c r="L168" s="137"/>
      <c r="M168" s="205"/>
      <c r="N168" s="205"/>
      <c r="Q168" s="143">
        <v>30000</v>
      </c>
      <c r="R168" s="207">
        <v>0</v>
      </c>
      <c r="S168" s="143">
        <v>8000</v>
      </c>
      <c r="T168" s="207">
        <f>S168-Q168</f>
        <v>-22000</v>
      </c>
      <c r="U168" s="208">
        <f>S168/Q168-1</f>
        <v>-0.73333333333333339</v>
      </c>
      <c r="Y168" s="143">
        <v>5000</v>
      </c>
      <c r="Z168" s="206">
        <v>5000</v>
      </c>
      <c r="AA168" s="143">
        <v>0</v>
      </c>
      <c r="AB168" s="216">
        <f t="shared" ref="AB168:AB170" si="414">AA168-Y168</f>
        <v>-5000</v>
      </c>
      <c r="AC168" s="219">
        <f t="shared" ref="AC168:AC170" si="415">AA168-Y168</f>
        <v>-5000</v>
      </c>
      <c r="AD168" s="219"/>
      <c r="AE168" s="143">
        <v>0</v>
      </c>
      <c r="AF168" s="213"/>
      <c r="AH168" s="207"/>
      <c r="AK168" s="143">
        <v>30000</v>
      </c>
      <c r="AL168" s="207"/>
      <c r="AP168" s="260">
        <v>-20000</v>
      </c>
      <c r="AS168" s="18">
        <f t="shared" ref="AS168:AS170" si="416">AR168+AK168</f>
        <v>30000</v>
      </c>
      <c r="AU168" s="207"/>
      <c r="AV168" s="18">
        <f t="shared" ref="AV168:AV170" si="417">AS168+AU168</f>
        <v>30000</v>
      </c>
      <c r="AX168" s="207"/>
      <c r="AY168" s="18">
        <f t="shared" ref="AY168:AY170" si="418">AV168+AX168</f>
        <v>30000</v>
      </c>
      <c r="BA168" s="207"/>
      <c r="BB168" s="18">
        <f t="shared" ref="BB168:BB170" si="419">AY168+BA168</f>
        <v>30000</v>
      </c>
      <c r="BD168" s="207">
        <v>-20000</v>
      </c>
      <c r="BE168" s="18">
        <f t="shared" ref="BE168:BE170" si="420">BB168+BD168</f>
        <v>10000</v>
      </c>
      <c r="BG168" s="207"/>
      <c r="BH168" s="18">
        <f t="shared" ref="BH168:BH170" si="421">BE168+BG168</f>
        <v>10000</v>
      </c>
      <c r="BJ168" s="18">
        <v>0</v>
      </c>
      <c r="BK168" s="279">
        <f t="shared" ref="BK168:BK170" si="422">BJ168/BH168</f>
        <v>0</v>
      </c>
      <c r="BL168" s="283"/>
      <c r="BM168" s="289">
        <v>30000</v>
      </c>
      <c r="BN168" s="279" t="e">
        <f t="shared" ref="BN168:BN170" si="423">BM168/BJ168</f>
        <v>#DIV/0!</v>
      </c>
      <c r="BO168" s="279">
        <f>BM168/BH168</f>
        <v>3</v>
      </c>
      <c r="BQ168" s="289">
        <v>-10000</v>
      </c>
      <c r="BR168" s="18">
        <f t="shared" ref="BR168:BR170" si="424">BM168+BQ168</f>
        <v>20000</v>
      </c>
      <c r="BT168" s="289"/>
      <c r="BU168" s="18">
        <f>BR168+BT168</f>
        <v>20000</v>
      </c>
      <c r="BW168" s="289"/>
      <c r="BX168" s="18">
        <f>BU168+BW168</f>
        <v>20000</v>
      </c>
      <c r="BZ168" s="289"/>
      <c r="CA168" s="18">
        <f>BX168+BZ168</f>
        <v>20000</v>
      </c>
      <c r="CC168" s="289"/>
      <c r="CD168" s="18">
        <f>CA168+CC168</f>
        <v>20000</v>
      </c>
      <c r="CF168" s="289"/>
      <c r="CG168" s="18">
        <f>CD168+CF168</f>
        <v>20000</v>
      </c>
      <c r="CI168" s="289"/>
      <c r="CJ168" s="18">
        <f>CG168+CI168</f>
        <v>20000</v>
      </c>
      <c r="CL168" s="327"/>
      <c r="CM168" s="18">
        <f>CJ168+CL168</f>
        <v>20000</v>
      </c>
      <c r="CO168" s="327"/>
      <c r="CP168" s="18">
        <f>CM168+CO168</f>
        <v>20000</v>
      </c>
      <c r="CQ168"/>
      <c r="CR168" s="327"/>
      <c r="CS168" s="18">
        <f>CP168+CR168</f>
        <v>20000</v>
      </c>
      <c r="CU168" s="327"/>
      <c r="CV168" s="18">
        <f>CS168+CU168</f>
        <v>20000</v>
      </c>
      <c r="CX168" s="327"/>
      <c r="CY168" s="18">
        <f>CV168+CX168</f>
        <v>20000</v>
      </c>
      <c r="DA168" s="327">
        <v>0</v>
      </c>
      <c r="DC168" s="327">
        <v>20000</v>
      </c>
    </row>
    <row r="169" spans="1:189" s="206" customFormat="1" outlineLevel="1">
      <c r="A169" s="209" t="s">
        <v>397</v>
      </c>
      <c r="B169" s="210" t="s">
        <v>191</v>
      </c>
      <c r="C169" s="211" t="s">
        <v>192</v>
      </c>
      <c r="D169" s="39"/>
      <c r="E169" s="202"/>
      <c r="F169" s="39"/>
      <c r="G169" s="202"/>
      <c r="H169" s="39"/>
      <c r="I169" s="39"/>
      <c r="J169" s="203"/>
      <c r="K169" s="204"/>
      <c r="L169" s="137"/>
      <c r="M169" s="205"/>
      <c r="N169" s="205"/>
      <c r="Q169" s="143"/>
      <c r="R169" s="207"/>
      <c r="S169" s="143">
        <v>5000</v>
      </c>
      <c r="T169" s="207"/>
      <c r="U169" s="208"/>
      <c r="Y169" s="143">
        <v>8000</v>
      </c>
      <c r="Z169" s="206">
        <v>8000</v>
      </c>
      <c r="AA169" s="143">
        <v>8000</v>
      </c>
      <c r="AB169" s="216">
        <f t="shared" si="414"/>
        <v>0</v>
      </c>
      <c r="AC169" s="219">
        <f t="shared" si="415"/>
        <v>0</v>
      </c>
      <c r="AD169" s="219"/>
      <c r="AE169" s="143">
        <v>8000</v>
      </c>
      <c r="AF169" s="213"/>
      <c r="AH169" s="207">
        <v>5362</v>
      </c>
      <c r="AI169" s="20">
        <f t="shared" ref="AI169:AI171" si="425">AH169/AE169</f>
        <v>0.67025000000000001</v>
      </c>
      <c r="AK169" s="143">
        <v>10000</v>
      </c>
      <c r="AL169" s="207"/>
      <c r="AP169" s="260">
        <v>10000</v>
      </c>
      <c r="AS169" s="18">
        <f t="shared" si="416"/>
        <v>10000</v>
      </c>
      <c r="AU169" s="207"/>
      <c r="AV169" s="18">
        <f t="shared" si="417"/>
        <v>10000</v>
      </c>
      <c r="AX169" s="207"/>
      <c r="AY169" s="18">
        <f t="shared" si="418"/>
        <v>10000</v>
      </c>
      <c r="BA169" s="207"/>
      <c r="BB169" s="18">
        <f t="shared" si="419"/>
        <v>10000</v>
      </c>
      <c r="BD169" s="207">
        <v>5000</v>
      </c>
      <c r="BE169" s="18">
        <f t="shared" si="420"/>
        <v>15000</v>
      </c>
      <c r="BG169" s="207"/>
      <c r="BH169" s="18">
        <f t="shared" si="421"/>
        <v>15000</v>
      </c>
      <c r="BJ169" s="18">
        <v>7171.48</v>
      </c>
      <c r="BK169" s="279">
        <f t="shared" si="422"/>
        <v>0.47809866666666662</v>
      </c>
      <c r="BL169" s="283"/>
      <c r="BM169" s="289"/>
      <c r="BN169" s="279">
        <f t="shared" si="423"/>
        <v>0</v>
      </c>
      <c r="BO169" s="279">
        <f t="shared" ref="BO169:BO170" si="426">BM169/BH169</f>
        <v>0</v>
      </c>
      <c r="BQ169" s="289">
        <v>5000</v>
      </c>
      <c r="BR169" s="18">
        <f t="shared" si="424"/>
        <v>5000</v>
      </c>
      <c r="BT169" s="289"/>
      <c r="BU169" s="18">
        <f>BR169+BT169</f>
        <v>5000</v>
      </c>
      <c r="BW169" s="289"/>
      <c r="BX169" s="18">
        <f>BU169+BW169</f>
        <v>5000</v>
      </c>
      <c r="BZ169" s="289"/>
      <c r="CA169" s="18">
        <f>BX169+BZ169</f>
        <v>5000</v>
      </c>
      <c r="CC169" s="289"/>
      <c r="CD169" s="18">
        <f>CA169+CC169</f>
        <v>5000</v>
      </c>
      <c r="CF169" s="289"/>
      <c r="CG169" s="18">
        <f>CD169+CF169</f>
        <v>5000</v>
      </c>
      <c r="CI169" s="289"/>
      <c r="CJ169" s="18">
        <f>CG169+CI169</f>
        <v>5000</v>
      </c>
      <c r="CL169" s="327"/>
      <c r="CM169" s="18">
        <f>CJ169+CL169</f>
        <v>5000</v>
      </c>
      <c r="CO169" s="289"/>
      <c r="CP169" s="18">
        <f>CM169+CO169</f>
        <v>5000</v>
      </c>
      <c r="CQ169"/>
      <c r="CR169" s="289"/>
      <c r="CS169" s="18">
        <f>CP169+CR169</f>
        <v>5000</v>
      </c>
      <c r="CU169" s="289"/>
      <c r="CV169" s="18">
        <f>CS169+CU169</f>
        <v>5000</v>
      </c>
      <c r="CX169" s="289"/>
      <c r="CY169" s="18">
        <f>CV169+CX169</f>
        <v>5000</v>
      </c>
      <c r="DA169" s="289">
        <v>3411</v>
      </c>
      <c r="DC169" s="289">
        <v>0</v>
      </c>
    </row>
    <row r="170" spans="1:189" s="206" customFormat="1" outlineLevel="1">
      <c r="A170" s="48" t="s">
        <v>397</v>
      </c>
      <c r="B170" s="201" t="s">
        <v>229</v>
      </c>
      <c r="C170" s="67" t="s">
        <v>230</v>
      </c>
      <c r="D170" s="39"/>
      <c r="E170" s="202"/>
      <c r="F170" s="39"/>
      <c r="G170" s="202"/>
      <c r="H170" s="39"/>
      <c r="I170" s="39"/>
      <c r="J170" s="203"/>
      <c r="K170" s="204"/>
      <c r="L170" s="137"/>
      <c r="M170" s="205"/>
      <c r="N170" s="205"/>
      <c r="Q170" s="143">
        <v>22000</v>
      </c>
      <c r="R170" s="207">
        <v>21559</v>
      </c>
      <c r="S170" s="143">
        <v>37000</v>
      </c>
      <c r="T170" s="207">
        <f>S170-Q170</f>
        <v>15000</v>
      </c>
      <c r="U170" s="208">
        <f>S170/Q170-1</f>
        <v>0.68181818181818188</v>
      </c>
      <c r="V170" s="206">
        <v>20000</v>
      </c>
      <c r="Y170" s="143">
        <v>37000</v>
      </c>
      <c r="AA170" s="143">
        <v>30000</v>
      </c>
      <c r="AB170" s="216">
        <f t="shared" si="414"/>
        <v>-7000</v>
      </c>
      <c r="AC170" s="219">
        <f t="shared" si="415"/>
        <v>-7000</v>
      </c>
      <c r="AD170" s="219"/>
      <c r="AE170" s="143">
        <v>30000</v>
      </c>
      <c r="AF170" s="213"/>
      <c r="AH170" s="207">
        <v>21679.07</v>
      </c>
      <c r="AI170" s="20">
        <f t="shared" si="425"/>
        <v>0.72263566666666668</v>
      </c>
      <c r="AK170" s="143">
        <v>10000</v>
      </c>
      <c r="AL170" s="207"/>
      <c r="AP170" s="260">
        <v>10000</v>
      </c>
      <c r="AS170" s="18">
        <f t="shared" si="416"/>
        <v>10000</v>
      </c>
      <c r="AU170" s="207"/>
      <c r="AV170" s="18">
        <f t="shared" si="417"/>
        <v>10000</v>
      </c>
      <c r="AX170" s="207"/>
      <c r="AY170" s="18">
        <f t="shared" si="418"/>
        <v>10000</v>
      </c>
      <c r="BA170" s="207"/>
      <c r="BB170" s="18">
        <f t="shared" si="419"/>
        <v>10000</v>
      </c>
      <c r="BD170" s="207"/>
      <c r="BE170" s="18">
        <f t="shared" si="420"/>
        <v>10000</v>
      </c>
      <c r="BG170" s="207"/>
      <c r="BH170" s="18">
        <f t="shared" si="421"/>
        <v>10000</v>
      </c>
      <c r="BJ170" s="18">
        <v>4840</v>
      </c>
      <c r="BK170" s="279">
        <f t="shared" si="422"/>
        <v>0.48399999999999999</v>
      </c>
      <c r="BL170" s="283"/>
      <c r="BM170" s="289"/>
      <c r="BN170" s="279">
        <f t="shared" si="423"/>
        <v>0</v>
      </c>
      <c r="BO170" s="279">
        <f t="shared" si="426"/>
        <v>0</v>
      </c>
      <c r="BQ170" s="289">
        <v>5000</v>
      </c>
      <c r="BR170" s="18">
        <f t="shared" si="424"/>
        <v>5000</v>
      </c>
      <c r="BT170" s="289"/>
      <c r="BU170" s="18">
        <f>BR170+BT170</f>
        <v>5000</v>
      </c>
      <c r="BW170" s="289"/>
      <c r="BX170" s="18">
        <f>BU170+BW170</f>
        <v>5000</v>
      </c>
      <c r="BZ170" s="289"/>
      <c r="CA170" s="18">
        <f>BX170+BZ170</f>
        <v>5000</v>
      </c>
      <c r="CC170" s="289"/>
      <c r="CD170" s="18">
        <f>CA170+CC170</f>
        <v>5000</v>
      </c>
      <c r="CF170" s="289"/>
      <c r="CG170" s="18">
        <f>CD170+CF170</f>
        <v>5000</v>
      </c>
      <c r="CI170" s="289"/>
      <c r="CJ170" s="18">
        <f>CG170+CI170</f>
        <v>5000</v>
      </c>
      <c r="CL170" s="327"/>
      <c r="CM170" s="18">
        <f>CJ170+CL170</f>
        <v>5000</v>
      </c>
      <c r="CO170" s="289"/>
      <c r="CP170" s="18">
        <f>CM170+CO170</f>
        <v>5000</v>
      </c>
      <c r="CR170" s="289"/>
      <c r="CS170" s="18">
        <f>CP170+CR170</f>
        <v>5000</v>
      </c>
      <c r="CU170" s="289"/>
      <c r="CV170" s="18">
        <f>CS170+CU170</f>
        <v>5000</v>
      </c>
      <c r="CX170" s="289"/>
      <c r="CY170" s="18">
        <f>CV170+CX170</f>
        <v>5000</v>
      </c>
      <c r="DA170" s="289">
        <v>0</v>
      </c>
      <c r="DC170" s="289">
        <v>0</v>
      </c>
    </row>
    <row r="171" spans="1:189" s="206" customFormat="1" outlineLevel="1">
      <c r="A171" s="48" t="s">
        <v>397</v>
      </c>
      <c r="B171" s="201" t="s">
        <v>146</v>
      </c>
      <c r="C171" s="201" t="s">
        <v>147</v>
      </c>
      <c r="D171" s="39"/>
      <c r="E171" s="202"/>
      <c r="F171" s="39"/>
      <c r="G171" s="202"/>
      <c r="H171" s="39"/>
      <c r="I171" s="39"/>
      <c r="J171" s="203"/>
      <c r="K171" s="204"/>
      <c r="L171" s="137"/>
      <c r="M171" s="205"/>
      <c r="N171" s="205"/>
      <c r="Q171" s="143"/>
      <c r="R171" s="207"/>
      <c r="S171" s="143"/>
      <c r="T171" s="207"/>
      <c r="U171" s="208"/>
      <c r="Y171" s="143"/>
      <c r="AA171" s="143"/>
      <c r="AB171" s="216"/>
      <c r="AC171" s="219"/>
      <c r="AD171" s="219"/>
      <c r="AE171" s="143">
        <v>300</v>
      </c>
      <c r="AF171" s="213">
        <f>AE171-AA171</f>
        <v>300</v>
      </c>
      <c r="AH171" s="207">
        <v>300</v>
      </c>
      <c r="AI171" s="20">
        <f t="shared" si="425"/>
        <v>1</v>
      </c>
      <c r="AK171" s="143">
        <v>0</v>
      </c>
      <c r="AL171" s="207"/>
      <c r="AP171" s="260"/>
      <c r="AU171" s="207"/>
      <c r="AX171" s="207"/>
      <c r="BA171" s="207"/>
      <c r="BD171" s="207"/>
      <c r="BG171" s="207"/>
      <c r="BJ171" s="207"/>
      <c r="BK171" s="283"/>
      <c r="BL171" s="283"/>
      <c r="BM171" s="290"/>
      <c r="BN171" s="283"/>
      <c r="BO171" s="283"/>
      <c r="BQ171" s="290"/>
      <c r="BR171" s="290"/>
      <c r="BT171" s="290"/>
      <c r="BU171" s="290"/>
      <c r="BW171" s="290"/>
      <c r="BX171" s="290"/>
      <c r="BZ171" s="290"/>
      <c r="CA171" s="290"/>
      <c r="CC171" s="290"/>
      <c r="CD171" s="290"/>
      <c r="CF171" s="290"/>
      <c r="CG171" s="290"/>
      <c r="CI171" s="290"/>
      <c r="CJ171" s="290"/>
      <c r="CL171" s="327"/>
      <c r="CM171" s="290"/>
      <c r="CO171" s="327"/>
      <c r="CP171" s="290"/>
      <c r="CR171" s="327"/>
      <c r="CS171" s="290"/>
      <c r="CU171" s="327"/>
      <c r="CV171" s="290"/>
      <c r="CX171" s="327"/>
      <c r="CY171" s="290"/>
      <c r="DA171" s="327"/>
      <c r="DC171" s="327"/>
    </row>
    <row r="172" spans="1:189" s="206" customFormat="1" outlineLevel="1">
      <c r="A172" s="48" t="s">
        <v>397</v>
      </c>
      <c r="B172" s="201" t="s">
        <v>117</v>
      </c>
      <c r="C172" s="343" t="s">
        <v>398</v>
      </c>
      <c r="D172" s="39"/>
      <c r="E172" s="202"/>
      <c r="F172" s="39"/>
      <c r="G172" s="202"/>
      <c r="H172" s="39"/>
      <c r="I172" s="39"/>
      <c r="J172" s="203"/>
      <c r="K172" s="204"/>
      <c r="L172" s="137"/>
      <c r="M172" s="205"/>
      <c r="N172" s="205"/>
      <c r="Q172" s="143"/>
      <c r="R172" s="207"/>
      <c r="S172" s="143"/>
      <c r="T172" s="207"/>
      <c r="U172" s="207"/>
      <c r="V172" s="206">
        <v>30000</v>
      </c>
      <c r="W172" s="206">
        <v>50000</v>
      </c>
      <c r="X172" s="206">
        <v>-20000</v>
      </c>
      <c r="Y172" s="143"/>
      <c r="AA172" s="143"/>
      <c r="AB172" s="143"/>
      <c r="AC172" s="220"/>
      <c r="AD172" s="220"/>
      <c r="AE172" s="143"/>
      <c r="AF172" s="213"/>
      <c r="AH172" s="207"/>
      <c r="AK172" s="143"/>
      <c r="AL172" s="207"/>
      <c r="AP172" s="260"/>
      <c r="AU172" s="207"/>
      <c r="AX172" s="207"/>
      <c r="BA172" s="207"/>
      <c r="BD172" s="207"/>
      <c r="BG172" s="207"/>
      <c r="BJ172" s="207"/>
      <c r="BK172" s="283"/>
      <c r="BL172" s="283"/>
      <c r="BM172" s="290"/>
      <c r="BN172" s="283"/>
      <c r="BO172" s="283"/>
      <c r="BQ172" s="290"/>
      <c r="BR172" s="290"/>
      <c r="BT172" s="290"/>
      <c r="BU172" s="290"/>
      <c r="BW172" s="290"/>
      <c r="BX172" s="290"/>
      <c r="BZ172" s="290"/>
      <c r="CA172" s="290"/>
      <c r="CC172" s="290"/>
      <c r="CD172" s="290"/>
      <c r="CF172" s="290"/>
      <c r="CG172" s="290"/>
      <c r="CI172" s="290"/>
      <c r="CJ172" s="290"/>
      <c r="CL172" s="327"/>
      <c r="CM172" s="290"/>
      <c r="CO172" s="327"/>
      <c r="CP172" s="290"/>
      <c r="CR172" s="327"/>
      <c r="CS172" s="290"/>
      <c r="CU172" s="327"/>
      <c r="CV172" s="290"/>
      <c r="CX172" s="327"/>
      <c r="CY172" s="290"/>
      <c r="DA172" s="327"/>
      <c r="DC172" s="327"/>
    </row>
    <row r="173" spans="1:189" s="206" customFormat="1" outlineLevel="1">
      <c r="A173" s="48" t="s">
        <v>397</v>
      </c>
      <c r="B173" s="201"/>
      <c r="C173" s="343" t="s">
        <v>399</v>
      </c>
      <c r="D173" s="39"/>
      <c r="E173" s="202"/>
      <c r="F173" s="39"/>
      <c r="G173" s="202"/>
      <c r="H173" s="39"/>
      <c r="I173" s="39"/>
      <c r="J173" s="203"/>
      <c r="K173" s="204"/>
      <c r="L173" s="137"/>
      <c r="M173" s="205"/>
      <c r="N173" s="205"/>
      <c r="Q173" s="143"/>
      <c r="R173" s="207"/>
      <c r="S173" s="143"/>
      <c r="T173" s="207"/>
      <c r="U173" s="207"/>
      <c r="Y173" s="143"/>
      <c r="AA173" s="143"/>
      <c r="AB173" s="143"/>
      <c r="AC173" s="220"/>
      <c r="AD173" s="220"/>
      <c r="AE173" s="143"/>
      <c r="AF173" s="213"/>
      <c r="AH173" s="207"/>
      <c r="AK173" s="143"/>
      <c r="AL173" s="207"/>
      <c r="AP173" s="260"/>
      <c r="AU173" s="207"/>
      <c r="AX173" s="207"/>
      <c r="BA173" s="207"/>
      <c r="BD173" s="207"/>
      <c r="BG173" s="207"/>
      <c r="BJ173" s="207"/>
      <c r="BK173" s="283"/>
      <c r="BL173" s="283"/>
      <c r="BM173" s="290"/>
      <c r="BN173" s="283"/>
      <c r="BO173" s="283"/>
      <c r="BQ173" s="290"/>
      <c r="BR173" s="290"/>
      <c r="BT173" s="290"/>
      <c r="BU173" s="290"/>
      <c r="BW173" s="290"/>
      <c r="BX173" s="290"/>
      <c r="BZ173" s="290"/>
      <c r="CA173" s="290"/>
      <c r="CC173" s="290"/>
      <c r="CD173" s="290"/>
      <c r="CF173" s="290"/>
      <c r="CG173" s="290"/>
      <c r="CI173" s="290"/>
      <c r="CJ173" s="290"/>
      <c r="CL173" s="327"/>
      <c r="CM173" s="290"/>
      <c r="CO173" s="327"/>
      <c r="CP173" s="290"/>
      <c r="CR173" s="327"/>
      <c r="CS173" s="290"/>
      <c r="CU173" s="327"/>
      <c r="CV173" s="290"/>
      <c r="CX173" s="327"/>
      <c r="CY173" s="290"/>
      <c r="DA173" s="327"/>
      <c r="DC173" s="327"/>
    </row>
    <row r="174" spans="1:189" s="164" customFormat="1" ht="15.75" thickBot="1">
      <c r="A174" s="70" t="s">
        <v>406</v>
      </c>
      <c r="B174" s="71" t="s">
        <v>320</v>
      </c>
      <c r="C174" s="338" t="s">
        <v>405</v>
      </c>
      <c r="D174" s="73"/>
      <c r="E174" s="74"/>
      <c r="F174" s="73"/>
      <c r="G174" s="74"/>
      <c r="H174" s="73"/>
      <c r="I174" s="73"/>
      <c r="J174" s="75"/>
      <c r="K174" s="76"/>
      <c r="L174" s="138"/>
      <c r="M174" s="77"/>
      <c r="N174" s="77"/>
      <c r="O174" s="76"/>
      <c r="P174" s="76"/>
      <c r="Q174" s="138">
        <f>SUM(Q168:Q170)</f>
        <v>52000</v>
      </c>
      <c r="R174" s="138">
        <f>SUM(R168:R170)</f>
        <v>21559</v>
      </c>
      <c r="S174" s="138">
        <f>SUM(S168:S170)</f>
        <v>50000</v>
      </c>
      <c r="T174" s="138">
        <f>SUM(T168:T170)</f>
        <v>-7000</v>
      </c>
      <c r="U174" s="175">
        <f t="shared" ref="U174:U197" si="427">S174/Q174-1</f>
        <v>-3.8461538461538436E-2</v>
      </c>
      <c r="Y174" s="138">
        <f>SUM(Y168:Y170)</f>
        <v>50000</v>
      </c>
      <c r="AA174" s="138">
        <f>SUM(AA168:AA170)</f>
        <v>38000</v>
      </c>
      <c r="AB174" s="138">
        <f>SUM(AB168:AB170)</f>
        <v>-12000</v>
      </c>
      <c r="AC174" s="220"/>
      <c r="AD174" s="220"/>
      <c r="AE174" s="138">
        <f>SUM(AE168:AE171)</f>
        <v>38300</v>
      </c>
      <c r="AF174" s="213"/>
      <c r="AG174" s="206"/>
      <c r="AH174" s="138">
        <f>SUM(AH168:AH171)</f>
        <v>27341.07</v>
      </c>
      <c r="AI174" s="20">
        <f t="shared" ref="AI174:AI187" si="428">AH174/AE174</f>
        <v>0.71386605744125331</v>
      </c>
      <c r="AJ174" s="206"/>
      <c r="AK174" s="138">
        <f>SUM(AK168:AK171)</f>
        <v>50000</v>
      </c>
      <c r="AL174" s="229" t="e">
        <f>AK174/L174</f>
        <v>#DIV/0!</v>
      </c>
      <c r="AM174" s="20">
        <f>AK174/AE174</f>
        <v>1.3054830287206267</v>
      </c>
      <c r="AN174" s="20">
        <f>AK174/AH174</f>
        <v>1.8287506670368059</v>
      </c>
      <c r="AO174" s="206"/>
      <c r="AP174" s="260"/>
      <c r="AQ174" s="206"/>
      <c r="AR174" s="206"/>
      <c r="AS174" s="138">
        <f>SUM(AS168:AS171)</f>
        <v>50000</v>
      </c>
      <c r="AT174" s="206"/>
      <c r="AU174" s="138">
        <f>SUM(AU168:AU171)</f>
        <v>0</v>
      </c>
      <c r="AV174" s="138">
        <f>SUM(AV168:AV171)</f>
        <v>50000</v>
      </c>
      <c r="AW174" s="206"/>
      <c r="AX174" s="138">
        <f>SUM(AX168:AX171)</f>
        <v>0</v>
      </c>
      <c r="AY174" s="138">
        <f>SUM(AY168:AY171)</f>
        <v>50000</v>
      </c>
      <c r="AZ174" s="206"/>
      <c r="BA174" s="138">
        <f>SUM(BA168:BA171)</f>
        <v>0</v>
      </c>
      <c r="BB174" s="138">
        <f>SUM(BB168:BB171)</f>
        <v>50000</v>
      </c>
      <c r="BC174" s="206"/>
      <c r="BD174" s="138">
        <f>SUM(BD168:BD171)</f>
        <v>-15000</v>
      </c>
      <c r="BE174" s="138">
        <f>SUM(BE168:BE171)</f>
        <v>35000</v>
      </c>
      <c r="BF174" s="206"/>
      <c r="BG174" s="138">
        <f>SUM(BG168:BG171)</f>
        <v>0</v>
      </c>
      <c r="BH174" s="138">
        <f>SUM(BH168:BH171)</f>
        <v>35000</v>
      </c>
      <c r="BI174" s="206"/>
      <c r="BJ174" s="138">
        <f>SUM(BJ168:BJ171)</f>
        <v>12011.48</v>
      </c>
      <c r="BK174" s="280">
        <f t="shared" ref="BK174" si="429">BJ174/BH174</f>
        <v>0.34318514285714286</v>
      </c>
      <c r="BL174" s="283"/>
      <c r="BM174" s="138">
        <f>SUM(BM168:BM171)</f>
        <v>30000</v>
      </c>
      <c r="BN174" s="280">
        <f t="shared" ref="BN174" si="430">BM174/BJ174</f>
        <v>2.4976106191743233</v>
      </c>
      <c r="BO174" s="280">
        <f t="shared" ref="BO174" si="431">BM174/BH174</f>
        <v>0.8571428571428571</v>
      </c>
      <c r="BP174" s="206"/>
      <c r="BQ174" s="138">
        <f>SUM(BQ168:BQ171)</f>
        <v>0</v>
      </c>
      <c r="BR174" s="138">
        <f>SUM(BR168:BR171)</f>
        <v>30000</v>
      </c>
      <c r="BS174" s="206"/>
      <c r="BT174" s="138">
        <f>SUM(BT168:BT171)</f>
        <v>0</v>
      </c>
      <c r="BU174" s="138">
        <f>SUM(BU168:BU171)</f>
        <v>30000</v>
      </c>
      <c r="BV174" s="206"/>
      <c r="BW174" s="138">
        <f>SUM(BW168:BW171)</f>
        <v>0</v>
      </c>
      <c r="BX174" s="138">
        <f>SUM(BX168:BX171)</f>
        <v>30000</v>
      </c>
      <c r="BY174" s="206"/>
      <c r="BZ174" s="138">
        <f>SUM(BZ168:BZ171)</f>
        <v>0</v>
      </c>
      <c r="CA174" s="138">
        <f>SUM(CA168:CA171)</f>
        <v>30000</v>
      </c>
      <c r="CB174" s="206"/>
      <c r="CC174" s="138">
        <f>SUM(CC168:CC171)</f>
        <v>0</v>
      </c>
      <c r="CD174" s="138">
        <f>SUM(CD168:CD171)</f>
        <v>30000</v>
      </c>
      <c r="CE174" s="206"/>
      <c r="CF174" s="138">
        <f>SUM(CF168:CF171)</f>
        <v>0</v>
      </c>
      <c r="CG174" s="138">
        <f>SUM(CG168:CG171)</f>
        <v>30000</v>
      </c>
      <c r="CH174" s="206"/>
      <c r="CI174" s="138">
        <f>SUM(CI168:CI171)</f>
        <v>0</v>
      </c>
      <c r="CJ174" s="138">
        <f>SUM(CJ168:CJ171)</f>
        <v>30000</v>
      </c>
      <c r="CK174" s="206"/>
      <c r="CL174" s="391">
        <f>SUM(CL168:CL171)</f>
        <v>0</v>
      </c>
      <c r="CM174" s="138">
        <f>SUM(CM168:CM171)</f>
        <v>30000</v>
      </c>
      <c r="CN174" s="206"/>
      <c r="CO174" s="138">
        <f>SUM(CO168:CO171)</f>
        <v>0</v>
      </c>
      <c r="CP174" s="138">
        <f>SUM(CP168:CP171)</f>
        <v>30000</v>
      </c>
      <c r="CQ174" s="206"/>
      <c r="CR174" s="138">
        <f>SUM(CR168:CR171)</f>
        <v>0</v>
      </c>
      <c r="CS174" s="138">
        <f>SUM(CS168:CS171)</f>
        <v>30000</v>
      </c>
      <c r="CT174" s="206"/>
      <c r="CU174" s="138">
        <f>SUM(CU168:CU171)</f>
        <v>0</v>
      </c>
      <c r="CV174" s="138">
        <f>SUM(CV168:CV171)</f>
        <v>30000</v>
      </c>
      <c r="CW174" s="206"/>
      <c r="CX174" s="138">
        <f>SUM(CX168:CX171)</f>
        <v>0</v>
      </c>
      <c r="CY174" s="138">
        <f>SUM(CY168:CY171)</f>
        <v>30000</v>
      </c>
      <c r="CZ174" s="206"/>
      <c r="DA174" s="138">
        <f>SUM(DA168:DA171)</f>
        <v>3411</v>
      </c>
      <c r="DB174" s="206"/>
      <c r="DC174" s="138">
        <f>SUM(DC168:DC171)</f>
        <v>20000</v>
      </c>
      <c r="DD174" s="206"/>
      <c r="DE174" s="206"/>
      <c r="DF174" s="206"/>
      <c r="DG174" s="206"/>
      <c r="DH174" s="206"/>
      <c r="DI174" s="206"/>
      <c r="DJ174" s="206"/>
      <c r="DK174" s="206"/>
      <c r="DL174" s="206"/>
      <c r="DM174" s="206"/>
      <c r="DN174" s="206"/>
      <c r="DO174" s="206"/>
      <c r="DP174" s="206"/>
      <c r="DQ174" s="206"/>
      <c r="DR174" s="206"/>
      <c r="DS174" s="206"/>
      <c r="DT174" s="206"/>
      <c r="DU174" s="206"/>
      <c r="DV174" s="206"/>
      <c r="DW174" s="206"/>
      <c r="DX174" s="206"/>
      <c r="DY174" s="206"/>
      <c r="DZ174" s="206"/>
      <c r="EA174" s="206"/>
      <c r="EB174" s="206"/>
      <c r="EC174" s="206"/>
      <c r="ED174" s="206"/>
      <c r="EE174" s="206"/>
      <c r="EF174" s="206"/>
      <c r="EG174" s="206"/>
      <c r="EH174" s="206"/>
      <c r="EI174" s="206"/>
      <c r="EJ174" s="206"/>
      <c r="EK174" s="206"/>
      <c r="EL174" s="206"/>
      <c r="EM174" s="206"/>
      <c r="EN174" s="206"/>
      <c r="EO174" s="206"/>
      <c r="EP174" s="206"/>
      <c r="EQ174" s="206"/>
      <c r="ER174" s="206"/>
      <c r="ES174" s="206"/>
      <c r="ET174" s="206"/>
      <c r="EU174" s="206"/>
      <c r="EV174" s="206"/>
      <c r="EW174" s="206"/>
      <c r="EX174" s="206"/>
      <c r="EY174" s="206"/>
      <c r="EZ174" s="206"/>
      <c r="FA174" s="206"/>
      <c r="FB174" s="206"/>
      <c r="FC174" s="206"/>
      <c r="FD174" s="206"/>
      <c r="FE174" s="206"/>
      <c r="FF174" s="206"/>
      <c r="FG174" s="206"/>
      <c r="FH174" s="206"/>
      <c r="FI174" s="206"/>
      <c r="FJ174" s="206"/>
      <c r="FK174" s="206"/>
      <c r="FL174" s="206"/>
      <c r="FM174" s="206"/>
      <c r="FN174" s="206"/>
      <c r="FO174" s="206"/>
      <c r="FP174" s="206"/>
      <c r="FQ174" s="206"/>
      <c r="FR174" s="206"/>
      <c r="FS174" s="206"/>
      <c r="FT174" s="206"/>
      <c r="FU174" s="206"/>
      <c r="FV174" s="206"/>
      <c r="FW174" s="206"/>
      <c r="FX174" s="206"/>
      <c r="FY174" s="206"/>
      <c r="FZ174" s="206"/>
      <c r="GA174" s="206"/>
      <c r="GB174" s="206"/>
      <c r="GC174" s="206"/>
      <c r="GD174" s="206"/>
      <c r="GE174" s="206"/>
      <c r="GF174" s="206"/>
      <c r="GG174" s="206"/>
    </row>
    <row r="175" spans="1:189" s="164" customFormat="1" ht="15.75" outlineLevel="1" thickTop="1">
      <c r="A175" s="48" t="s">
        <v>559</v>
      </c>
      <c r="B175" s="201" t="s">
        <v>491</v>
      </c>
      <c r="C175" s="343" t="s">
        <v>560</v>
      </c>
      <c r="D175" s="39"/>
      <c r="E175" s="202"/>
      <c r="F175" s="39"/>
      <c r="G175" s="202"/>
      <c r="H175" s="39"/>
      <c r="I175" s="39"/>
      <c r="J175" s="203"/>
      <c r="K175" s="204"/>
      <c r="L175" s="137"/>
      <c r="M175" s="205"/>
      <c r="N175" s="205"/>
      <c r="O175" s="204"/>
      <c r="P175" s="204"/>
      <c r="Q175" s="137"/>
      <c r="R175" s="137"/>
      <c r="S175" s="137"/>
      <c r="T175" s="137"/>
      <c r="U175" s="263"/>
      <c r="V175" s="206"/>
      <c r="W175" s="206"/>
      <c r="X175" s="206"/>
      <c r="Y175" s="137"/>
      <c r="Z175" s="206"/>
      <c r="AA175" s="137"/>
      <c r="AB175" s="137"/>
      <c r="AC175" s="220"/>
      <c r="AD175" s="220"/>
      <c r="AE175" s="137"/>
      <c r="AF175" s="219"/>
      <c r="AG175" s="206"/>
      <c r="AH175" s="137"/>
      <c r="AI175" s="264"/>
      <c r="AJ175" s="206"/>
      <c r="AK175" s="137"/>
      <c r="AL175" s="229"/>
      <c r="AM175" s="264"/>
      <c r="AN175" s="264"/>
      <c r="AO175" s="206"/>
      <c r="AP175" s="206"/>
      <c r="AQ175" s="206"/>
      <c r="AR175" s="206"/>
      <c r="AS175" s="137"/>
      <c r="AT175" s="206"/>
      <c r="AU175" s="137"/>
      <c r="AV175" s="137"/>
      <c r="AW175" s="206"/>
      <c r="AX175" s="137"/>
      <c r="AY175" s="137"/>
      <c r="AZ175" s="206"/>
      <c r="BA175" s="137"/>
      <c r="BB175" s="137"/>
      <c r="BC175" s="206"/>
      <c r="BD175" s="137"/>
      <c r="BE175" s="137"/>
      <c r="BF175" s="206"/>
      <c r="BG175" s="137"/>
      <c r="BH175" s="137"/>
      <c r="BI175" s="206"/>
      <c r="BJ175" s="137"/>
      <c r="BK175" s="352"/>
      <c r="BL175" s="283"/>
      <c r="BM175" s="137"/>
      <c r="BN175" s="352"/>
      <c r="BO175" s="352"/>
      <c r="BP175" s="206"/>
      <c r="BQ175" s="360">
        <v>1000</v>
      </c>
      <c r="BR175" s="18">
        <f t="shared" ref="BR175" si="432">BM175+BQ175</f>
        <v>1000</v>
      </c>
      <c r="BS175" s="206"/>
      <c r="BT175" s="39"/>
      <c r="BU175" s="18">
        <f>BR175+BT175</f>
        <v>1000</v>
      </c>
      <c r="BV175" s="206"/>
      <c r="BW175" s="39"/>
      <c r="BX175" s="18">
        <f>BU175+BW175</f>
        <v>1000</v>
      </c>
      <c r="BY175" s="206"/>
      <c r="BZ175" s="39"/>
      <c r="CA175" s="18">
        <f>BX175+BZ175</f>
        <v>1000</v>
      </c>
      <c r="CB175" s="206"/>
      <c r="CC175" s="39"/>
      <c r="CD175" s="18">
        <f>CA175+CC175</f>
        <v>1000</v>
      </c>
      <c r="CE175" s="206"/>
      <c r="CF175" s="39"/>
      <c r="CG175" s="18">
        <f>CD175+CF175</f>
        <v>1000</v>
      </c>
      <c r="CH175" s="206"/>
      <c r="CI175" s="39"/>
      <c r="CJ175" s="18">
        <f>CG175+CI175</f>
        <v>1000</v>
      </c>
      <c r="CK175" s="206"/>
      <c r="CL175" s="39"/>
      <c r="CM175" s="18">
        <f>CJ175+CL175</f>
        <v>1000</v>
      </c>
      <c r="CN175" s="206"/>
      <c r="CO175" s="39"/>
      <c r="CP175" s="18">
        <f>CM175+CO175</f>
        <v>1000</v>
      </c>
      <c r="CQ175" s="206"/>
      <c r="CR175" s="39"/>
      <c r="CS175" s="18">
        <f>CP175+CR175</f>
        <v>1000</v>
      </c>
      <c r="CT175" s="206"/>
      <c r="CU175" s="39"/>
      <c r="CV175" s="18">
        <f>CS175+CU175</f>
        <v>1000</v>
      </c>
      <c r="CW175" s="206"/>
      <c r="CX175" s="39"/>
      <c r="CY175" s="18">
        <f>CV175+CX175</f>
        <v>1000</v>
      </c>
      <c r="CZ175" s="206"/>
      <c r="DA175" s="39">
        <v>1000</v>
      </c>
      <c r="DB175" s="206"/>
      <c r="DC175" s="39">
        <v>1000</v>
      </c>
      <c r="DD175" s="206"/>
      <c r="DE175" s="206"/>
      <c r="DF175" s="206"/>
      <c r="DG175" s="206"/>
      <c r="DH175" s="206"/>
      <c r="DI175" s="206"/>
      <c r="DJ175" s="206"/>
      <c r="DK175" s="206"/>
      <c r="DL175" s="206"/>
      <c r="DM175" s="206"/>
      <c r="DN175" s="206"/>
      <c r="DO175" s="206"/>
      <c r="DP175" s="206"/>
      <c r="DQ175" s="206"/>
      <c r="DR175" s="206"/>
      <c r="DS175" s="206"/>
      <c r="DT175" s="206"/>
      <c r="DU175" s="206"/>
      <c r="DV175" s="206"/>
      <c r="DW175" s="206"/>
      <c r="DX175" s="206"/>
      <c r="DY175" s="206"/>
      <c r="DZ175" s="206"/>
      <c r="EA175" s="206"/>
      <c r="EB175" s="206"/>
      <c r="EC175" s="206"/>
      <c r="ED175" s="206"/>
      <c r="EE175" s="206"/>
      <c r="EF175" s="206"/>
      <c r="EG175" s="206"/>
      <c r="EH175" s="206"/>
      <c r="EI175" s="206"/>
      <c r="EJ175" s="206"/>
      <c r="EK175" s="206"/>
      <c r="EL175" s="206"/>
      <c r="EM175" s="206"/>
      <c r="EN175" s="206"/>
      <c r="EO175" s="206"/>
      <c r="EP175" s="206"/>
      <c r="EQ175" s="206"/>
      <c r="ER175" s="206"/>
      <c r="ES175" s="206"/>
      <c r="ET175" s="206"/>
      <c r="EU175" s="206"/>
      <c r="EV175" s="206"/>
      <c r="EW175" s="206"/>
      <c r="EX175" s="206"/>
      <c r="EY175" s="206"/>
      <c r="EZ175" s="206"/>
      <c r="FA175" s="206"/>
      <c r="FB175" s="206"/>
      <c r="FC175" s="206"/>
      <c r="FD175" s="206"/>
      <c r="FE175" s="206"/>
      <c r="FF175" s="206"/>
      <c r="FG175" s="206"/>
      <c r="FH175" s="206"/>
      <c r="FI175" s="206"/>
      <c r="FJ175" s="206"/>
      <c r="FK175" s="206"/>
      <c r="FL175" s="206"/>
      <c r="FM175" s="206"/>
      <c r="FN175" s="206"/>
      <c r="FO175" s="206"/>
      <c r="FP175" s="206"/>
      <c r="FQ175" s="206"/>
      <c r="FR175" s="206"/>
      <c r="FS175" s="206"/>
      <c r="FT175" s="206"/>
      <c r="FU175" s="206"/>
      <c r="FV175" s="206"/>
      <c r="FW175" s="206"/>
      <c r="FX175" s="206"/>
      <c r="FY175" s="206"/>
      <c r="FZ175" s="206"/>
      <c r="GA175" s="206"/>
      <c r="GB175" s="206"/>
      <c r="GC175" s="206"/>
      <c r="GD175" s="206"/>
      <c r="GE175" s="206"/>
      <c r="GF175" s="206"/>
      <c r="GG175" s="206"/>
    </row>
    <row r="176" spans="1:189" s="164" customFormat="1" ht="15.75" thickBot="1">
      <c r="A176" s="70" t="s">
        <v>559</v>
      </c>
      <c r="B176" s="71"/>
      <c r="C176" s="338" t="s">
        <v>560</v>
      </c>
      <c r="D176" s="73"/>
      <c r="E176" s="74"/>
      <c r="F176" s="73"/>
      <c r="G176" s="74"/>
      <c r="H176" s="73"/>
      <c r="I176" s="73"/>
      <c r="J176" s="75"/>
      <c r="K176" s="76"/>
      <c r="L176" s="138"/>
      <c r="M176" s="77"/>
      <c r="N176" s="77"/>
      <c r="O176" s="76"/>
      <c r="P176" s="76"/>
      <c r="Q176" s="138"/>
      <c r="R176" s="138"/>
      <c r="S176" s="138"/>
      <c r="T176" s="138"/>
      <c r="U176" s="353"/>
      <c r="V176" s="151"/>
      <c r="W176" s="151"/>
      <c r="X176" s="151"/>
      <c r="Y176" s="138"/>
      <c r="Z176" s="151"/>
      <c r="AA176" s="138"/>
      <c r="AB176" s="138"/>
      <c r="AC176" s="354"/>
      <c r="AD176" s="354"/>
      <c r="AE176" s="138"/>
      <c r="AF176" s="355"/>
      <c r="AG176" s="356"/>
      <c r="AH176" s="138"/>
      <c r="AI176" s="253"/>
      <c r="AJ176" s="356"/>
      <c r="AK176" s="138"/>
      <c r="AL176" s="357"/>
      <c r="AM176" s="253"/>
      <c r="AN176" s="253"/>
      <c r="AO176" s="356"/>
      <c r="AP176" s="358"/>
      <c r="AQ176" s="356"/>
      <c r="AR176" s="356"/>
      <c r="AS176" s="138"/>
      <c r="AT176" s="356"/>
      <c r="AU176" s="138"/>
      <c r="AV176" s="138"/>
      <c r="AW176" s="356"/>
      <c r="AX176" s="138"/>
      <c r="AY176" s="138"/>
      <c r="AZ176" s="356"/>
      <c r="BA176" s="138"/>
      <c r="BB176" s="138"/>
      <c r="BC176" s="356"/>
      <c r="BD176" s="138"/>
      <c r="BE176" s="138"/>
      <c r="BF176" s="356"/>
      <c r="BG176" s="138"/>
      <c r="BH176" s="138"/>
      <c r="BI176" s="356"/>
      <c r="BJ176" s="138"/>
      <c r="BK176" s="280"/>
      <c r="BL176" s="359"/>
      <c r="BM176" s="138"/>
      <c r="BN176" s="280"/>
      <c r="BO176" s="280"/>
      <c r="BP176" s="356"/>
      <c r="BQ176" s="138">
        <f>SUM(BQ175)</f>
        <v>1000</v>
      </c>
      <c r="BR176" s="138">
        <f>SUM(BR175)</f>
        <v>1000</v>
      </c>
      <c r="BS176" s="206"/>
      <c r="BT176" s="138">
        <f>SUM(BT175)</f>
        <v>0</v>
      </c>
      <c r="BU176" s="138">
        <f>SUM(BU175)</f>
        <v>1000</v>
      </c>
      <c r="BV176" s="206"/>
      <c r="BW176" s="138">
        <f>SUM(BW175)</f>
        <v>0</v>
      </c>
      <c r="BX176" s="138">
        <f>SUM(BX175)</f>
        <v>1000</v>
      </c>
      <c r="BY176" s="206"/>
      <c r="BZ176" s="138">
        <f>SUM(BZ175)</f>
        <v>0</v>
      </c>
      <c r="CA176" s="138">
        <f>SUM(CA175)</f>
        <v>1000</v>
      </c>
      <c r="CB176" s="206"/>
      <c r="CC176" s="138">
        <f>SUM(CC175)</f>
        <v>0</v>
      </c>
      <c r="CD176" s="138">
        <f>SUM(CD175)</f>
        <v>1000</v>
      </c>
      <c r="CE176" s="206"/>
      <c r="CF176" s="138">
        <f>SUM(CF175)</f>
        <v>0</v>
      </c>
      <c r="CG176" s="138">
        <f>SUM(CG175)</f>
        <v>1000</v>
      </c>
      <c r="CH176" s="206"/>
      <c r="CI176" s="138">
        <f>SUM(CI175)</f>
        <v>0</v>
      </c>
      <c r="CJ176" s="138">
        <f>SUM(CJ175)</f>
        <v>1000</v>
      </c>
      <c r="CK176" s="206"/>
      <c r="CL176" s="391">
        <f>SUM(CL175)</f>
        <v>0</v>
      </c>
      <c r="CM176" s="138">
        <f>SUM(CM175)</f>
        <v>1000</v>
      </c>
      <c r="CN176" s="206"/>
      <c r="CO176" s="138">
        <f>SUM(CO175)</f>
        <v>0</v>
      </c>
      <c r="CP176" s="138">
        <f>SUM(CP175)</f>
        <v>1000</v>
      </c>
      <c r="CQ176" s="206"/>
      <c r="CR176" s="138">
        <f>SUM(CR175)</f>
        <v>0</v>
      </c>
      <c r="CS176" s="138">
        <f>SUM(CS175)</f>
        <v>1000</v>
      </c>
      <c r="CT176" s="206"/>
      <c r="CU176" s="138">
        <f>SUM(CU175)</f>
        <v>0</v>
      </c>
      <c r="CV176" s="138">
        <f>SUM(CV175)</f>
        <v>1000</v>
      </c>
      <c r="CW176" s="206"/>
      <c r="CX176" s="138">
        <f>SUM(CX175)</f>
        <v>0</v>
      </c>
      <c r="CY176" s="138">
        <f>SUM(CY175)</f>
        <v>1000</v>
      </c>
      <c r="CZ176" s="206"/>
      <c r="DA176" s="138">
        <f>SUM(DA175)</f>
        <v>1000</v>
      </c>
      <c r="DB176" s="206"/>
      <c r="DC176" s="138">
        <f>SUM(DC175)</f>
        <v>1000</v>
      </c>
      <c r="DD176" s="206"/>
      <c r="DE176" s="206"/>
      <c r="DF176" s="206"/>
      <c r="DG176" s="206"/>
      <c r="DH176" s="206"/>
      <c r="DI176" s="206"/>
      <c r="DJ176" s="206"/>
      <c r="DK176" s="206"/>
      <c r="DL176" s="206"/>
      <c r="DM176" s="206"/>
      <c r="DN176" s="206"/>
      <c r="DO176" s="206"/>
      <c r="DP176" s="206"/>
      <c r="DQ176" s="206"/>
      <c r="DR176" s="206"/>
      <c r="DS176" s="206"/>
      <c r="DT176" s="206"/>
      <c r="DU176" s="206"/>
      <c r="DV176" s="206"/>
      <c r="DW176" s="206"/>
      <c r="DX176" s="206"/>
      <c r="DY176" s="206"/>
      <c r="DZ176" s="206"/>
      <c r="EA176" s="206"/>
      <c r="EB176" s="206"/>
      <c r="EC176" s="206"/>
      <c r="ED176" s="206"/>
      <c r="EE176" s="206"/>
      <c r="EF176" s="206"/>
      <c r="EG176" s="206"/>
      <c r="EH176" s="206"/>
      <c r="EI176" s="206"/>
      <c r="EJ176" s="206"/>
      <c r="EK176" s="206"/>
      <c r="EL176" s="206"/>
      <c r="EM176" s="206"/>
      <c r="EN176" s="206"/>
      <c r="EO176" s="206"/>
      <c r="EP176" s="206"/>
      <c r="EQ176" s="206"/>
      <c r="ER176" s="206"/>
      <c r="ES176" s="206"/>
      <c r="ET176" s="206"/>
      <c r="EU176" s="206"/>
      <c r="EV176" s="206"/>
      <c r="EW176" s="206"/>
      <c r="EX176" s="206"/>
      <c r="EY176" s="206"/>
      <c r="EZ176" s="206"/>
      <c r="FA176" s="206"/>
      <c r="FB176" s="206"/>
      <c r="FC176" s="206"/>
      <c r="FD176" s="206"/>
      <c r="FE176" s="206"/>
      <c r="FF176" s="206"/>
      <c r="FG176" s="206"/>
      <c r="FH176" s="206"/>
      <c r="FI176" s="206"/>
      <c r="FJ176" s="206"/>
      <c r="FK176" s="206"/>
      <c r="FL176" s="206"/>
      <c r="FM176" s="206"/>
      <c r="FN176" s="206"/>
      <c r="FO176" s="206"/>
      <c r="FP176" s="206"/>
      <c r="FQ176" s="206"/>
      <c r="FR176" s="206"/>
      <c r="FS176" s="206"/>
      <c r="FT176" s="206"/>
      <c r="FU176" s="206"/>
      <c r="FV176" s="206"/>
      <c r="FW176" s="206"/>
      <c r="FX176" s="206"/>
      <c r="FY176" s="206"/>
      <c r="FZ176" s="206"/>
      <c r="GA176" s="206"/>
      <c r="GB176" s="206"/>
      <c r="GC176" s="206"/>
      <c r="GD176" s="206"/>
      <c r="GE176" s="206"/>
      <c r="GF176" s="206"/>
      <c r="GG176" s="206"/>
    </row>
    <row r="177" spans="1:189" s="164" customFormat="1" ht="15.75" thickTop="1">
      <c r="A177" s="48" t="s">
        <v>482</v>
      </c>
      <c r="B177" s="201" t="s">
        <v>136</v>
      </c>
      <c r="C177" s="343" t="s">
        <v>137</v>
      </c>
      <c r="D177" s="39"/>
      <c r="E177" s="202"/>
      <c r="F177" s="39"/>
      <c r="G177" s="202"/>
      <c r="H177" s="39"/>
      <c r="I177" s="39"/>
      <c r="J177" s="203"/>
      <c r="K177" s="204"/>
      <c r="L177" s="137"/>
      <c r="M177" s="205"/>
      <c r="N177" s="205"/>
      <c r="O177" s="204"/>
      <c r="P177" s="204"/>
      <c r="Q177" s="137"/>
      <c r="R177" s="137"/>
      <c r="S177" s="137"/>
      <c r="T177" s="137"/>
      <c r="U177" s="263"/>
      <c r="V177" s="206"/>
      <c r="W177" s="206"/>
      <c r="X177" s="206"/>
      <c r="Y177" s="137"/>
      <c r="Z177" s="206"/>
      <c r="AA177" s="137"/>
      <c r="AB177" s="137"/>
      <c r="AC177" s="220"/>
      <c r="AD177" s="220"/>
      <c r="AE177" s="137"/>
      <c r="AF177" s="219"/>
      <c r="AG177" s="206"/>
      <c r="AH177" s="137"/>
      <c r="AI177" s="264"/>
      <c r="AJ177" s="206"/>
      <c r="AK177" s="137"/>
      <c r="AL177" s="229"/>
      <c r="AM177" s="264"/>
      <c r="AN177" s="264"/>
      <c r="AO177" s="206"/>
      <c r="AP177" s="206"/>
      <c r="AQ177" s="206"/>
      <c r="AR177" s="206"/>
      <c r="AS177" s="137"/>
      <c r="AT177" s="206"/>
      <c r="AU177" s="207">
        <v>100000</v>
      </c>
      <c r="AV177" s="18">
        <f t="shared" ref="AV177:AV192" si="433">AS177+AU177</f>
        <v>100000</v>
      </c>
      <c r="AW177" s="206"/>
      <c r="AX177" s="207"/>
      <c r="AY177" s="18">
        <f t="shared" ref="AY177" si="434">AV177+AX177</f>
        <v>100000</v>
      </c>
      <c r="AZ177" s="206"/>
      <c r="BA177" s="207"/>
      <c r="BB177" s="18">
        <f t="shared" ref="BB177" si="435">AY177+BA177</f>
        <v>100000</v>
      </c>
      <c r="BC177" s="206"/>
      <c r="BD177" s="207"/>
      <c r="BE177" s="18">
        <f t="shared" ref="BE177" si="436">BB177+BD177</f>
        <v>100000</v>
      </c>
      <c r="BF177" s="206"/>
      <c r="BG177" s="207"/>
      <c r="BH177" s="18">
        <f t="shared" ref="BH177" si="437">BE177+BG177</f>
        <v>100000</v>
      </c>
      <c r="BI177" s="206"/>
      <c r="BJ177" s="18">
        <v>100000</v>
      </c>
      <c r="BK177" s="279">
        <f t="shared" ref="BK177:BK178" si="438">BJ177/BH177</f>
        <v>1</v>
      </c>
      <c r="BL177" s="283"/>
      <c r="BM177" s="289">
        <v>0</v>
      </c>
      <c r="BN177" s="279">
        <f t="shared" ref="BN177:BN197" si="439">BM177/BJ177</f>
        <v>0</v>
      </c>
      <c r="BO177" s="279">
        <f t="shared" ref="BO177:BO197" si="440">BM177/BH177</f>
        <v>0</v>
      </c>
      <c r="BP177" s="206"/>
      <c r="BQ177" s="289">
        <v>0</v>
      </c>
      <c r="BR177" s="289">
        <v>0</v>
      </c>
      <c r="BS177" s="206"/>
      <c r="BT177" s="289">
        <v>0</v>
      </c>
      <c r="BU177" s="289">
        <v>0</v>
      </c>
      <c r="BV177" s="206"/>
      <c r="BW177" s="289">
        <v>0</v>
      </c>
      <c r="BX177" s="289">
        <v>0</v>
      </c>
      <c r="BY177" s="206"/>
      <c r="BZ177" s="289">
        <v>0</v>
      </c>
      <c r="CA177" s="289">
        <v>0</v>
      </c>
      <c r="CB177" s="206"/>
      <c r="CC177" s="289">
        <v>0</v>
      </c>
      <c r="CD177" s="289">
        <v>0</v>
      </c>
      <c r="CE177" s="206"/>
      <c r="CF177" s="289">
        <v>0</v>
      </c>
      <c r="CG177" s="289">
        <v>0</v>
      </c>
      <c r="CH177" s="206"/>
      <c r="CI177" s="289">
        <v>0</v>
      </c>
      <c r="CJ177" s="289">
        <v>0</v>
      </c>
      <c r="CK177" s="206"/>
      <c r="CL177" s="327">
        <v>0</v>
      </c>
      <c r="CM177" s="289">
        <v>0</v>
      </c>
      <c r="CN177" s="206"/>
      <c r="CO177" s="289">
        <v>0</v>
      </c>
      <c r="CP177" s="289">
        <v>0</v>
      </c>
      <c r="CQ177" s="206"/>
      <c r="CR177" s="289">
        <v>0</v>
      </c>
      <c r="CS177" s="289">
        <v>0</v>
      </c>
      <c r="CT177" s="206"/>
      <c r="CU177" s="289">
        <v>0</v>
      </c>
      <c r="CV177" s="289">
        <v>0</v>
      </c>
      <c r="CW177" s="206"/>
      <c r="CX177" s="289">
        <v>0</v>
      </c>
      <c r="CY177" s="289">
        <v>0</v>
      </c>
      <c r="CZ177" s="206"/>
      <c r="DA177" s="289">
        <v>0</v>
      </c>
      <c r="DB177" s="206"/>
      <c r="DC177" s="289">
        <v>0</v>
      </c>
      <c r="DD177" s="206"/>
      <c r="DE177" s="206"/>
      <c r="DF177" s="206"/>
      <c r="DG177" s="206"/>
      <c r="DH177" s="206"/>
      <c r="DI177" s="206"/>
      <c r="DJ177" s="206"/>
      <c r="DK177" s="206"/>
      <c r="DL177" s="206"/>
      <c r="DM177" s="206"/>
      <c r="DN177" s="206"/>
      <c r="DO177" s="206"/>
      <c r="DP177" s="206"/>
      <c r="DQ177" s="206"/>
      <c r="DR177" s="206"/>
      <c r="DS177" s="206"/>
      <c r="DT177" s="206"/>
      <c r="DU177" s="206"/>
      <c r="DV177" s="206"/>
      <c r="DW177" s="206"/>
      <c r="DX177" s="206"/>
      <c r="DY177" s="206"/>
      <c r="DZ177" s="206"/>
      <c r="EA177" s="206"/>
      <c r="EB177" s="206"/>
      <c r="EC177" s="206"/>
      <c r="ED177" s="206"/>
      <c r="EE177" s="206"/>
      <c r="EF177" s="206"/>
      <c r="EG177" s="206"/>
      <c r="EH177" s="206"/>
      <c r="EI177" s="206"/>
      <c r="EJ177" s="206"/>
      <c r="EK177" s="206"/>
      <c r="EL177" s="206"/>
      <c r="EM177" s="206"/>
      <c r="EN177" s="206"/>
      <c r="EO177" s="206"/>
      <c r="EP177" s="206"/>
      <c r="EQ177" s="206"/>
      <c r="ER177" s="206"/>
      <c r="ES177" s="206"/>
      <c r="ET177" s="206"/>
      <c r="EU177" s="206"/>
      <c r="EV177" s="206"/>
      <c r="EW177" s="206"/>
      <c r="EX177" s="206"/>
      <c r="EY177" s="206"/>
      <c r="EZ177" s="206"/>
      <c r="FA177" s="206"/>
      <c r="FB177" s="206"/>
      <c r="FC177" s="206"/>
      <c r="FD177" s="206"/>
      <c r="FE177" s="206"/>
      <c r="FF177" s="206"/>
      <c r="FG177" s="206"/>
      <c r="FH177" s="206"/>
      <c r="FI177" s="206"/>
      <c r="FJ177" s="206"/>
      <c r="FK177" s="206"/>
      <c r="FL177" s="206"/>
      <c r="FM177" s="206"/>
      <c r="FN177" s="206"/>
      <c r="FO177" s="206"/>
      <c r="FP177" s="206"/>
      <c r="FQ177" s="206"/>
      <c r="FR177" s="206"/>
      <c r="FS177" s="206"/>
      <c r="FT177" s="206"/>
      <c r="FU177" s="206"/>
      <c r="FV177" s="206"/>
      <c r="FW177" s="206"/>
      <c r="FX177" s="206"/>
      <c r="FY177" s="206"/>
      <c r="FZ177" s="206"/>
      <c r="GA177" s="206"/>
      <c r="GB177" s="206"/>
      <c r="GC177" s="206"/>
      <c r="GD177" s="206"/>
      <c r="GE177" s="206"/>
      <c r="GF177" s="206"/>
      <c r="GG177" s="206"/>
    </row>
    <row r="178" spans="1:189" s="164" customFormat="1" ht="15.75" thickBot="1">
      <c r="A178" s="70" t="s">
        <v>482</v>
      </c>
      <c r="B178" s="71" t="s">
        <v>320</v>
      </c>
      <c r="C178" s="338" t="s">
        <v>483</v>
      </c>
      <c r="D178" s="39"/>
      <c r="E178" s="202"/>
      <c r="F178" s="39"/>
      <c r="G178" s="202"/>
      <c r="H178" s="39"/>
      <c r="I178" s="39"/>
      <c r="J178" s="203"/>
      <c r="K178" s="204"/>
      <c r="L178" s="137"/>
      <c r="M178" s="205"/>
      <c r="N178" s="205"/>
      <c r="O178" s="204"/>
      <c r="P178" s="204"/>
      <c r="Q178" s="137"/>
      <c r="R178" s="137"/>
      <c r="S178" s="137"/>
      <c r="T178" s="137"/>
      <c r="U178" s="263"/>
      <c r="V178" s="206"/>
      <c r="W178" s="206"/>
      <c r="X178" s="206"/>
      <c r="Y178" s="137"/>
      <c r="Z178" s="206"/>
      <c r="AA178" s="137"/>
      <c r="AB178" s="137"/>
      <c r="AC178" s="220"/>
      <c r="AD178" s="220"/>
      <c r="AE178" s="137"/>
      <c r="AF178" s="219"/>
      <c r="AG178" s="206"/>
      <c r="AH178" s="137"/>
      <c r="AI178" s="264"/>
      <c r="AJ178" s="206"/>
      <c r="AK178" s="137"/>
      <c r="AL178" s="229"/>
      <c r="AM178" s="264"/>
      <c r="AN178" s="264"/>
      <c r="AO178" s="206"/>
      <c r="AP178" s="206"/>
      <c r="AQ178" s="206"/>
      <c r="AR178" s="206"/>
      <c r="AS178" s="137"/>
      <c r="AT178" s="206"/>
      <c r="AU178" s="138">
        <f>SUM(AU177)</f>
        <v>100000</v>
      </c>
      <c r="AV178" s="138">
        <f>SUM(AV177)</f>
        <v>100000</v>
      </c>
      <c r="AW178" s="206"/>
      <c r="AX178" s="138">
        <f>SUM(AX177)</f>
        <v>0</v>
      </c>
      <c r="AY178" s="138">
        <f>SUM(AY177)</f>
        <v>100000</v>
      </c>
      <c r="AZ178" s="206"/>
      <c r="BA178" s="138">
        <f>SUM(BA177)</f>
        <v>0</v>
      </c>
      <c r="BB178" s="138">
        <f>SUM(BB177)</f>
        <v>100000</v>
      </c>
      <c r="BC178" s="206"/>
      <c r="BD178" s="138">
        <f>SUM(BD177)</f>
        <v>0</v>
      </c>
      <c r="BE178" s="138">
        <f>SUM(BE177)</f>
        <v>100000</v>
      </c>
      <c r="BF178" s="206"/>
      <c r="BG178" s="138">
        <f>SUM(BG177)</f>
        <v>0</v>
      </c>
      <c r="BH178" s="138">
        <f>SUM(BH177)</f>
        <v>100000</v>
      </c>
      <c r="BI178" s="206"/>
      <c r="BJ178" s="138">
        <f>SUM(BJ177)</f>
        <v>100000</v>
      </c>
      <c r="BK178" s="280">
        <f t="shared" si="438"/>
        <v>1</v>
      </c>
      <c r="BL178" s="283"/>
      <c r="BM178" s="138">
        <f>SUM(BM177)</f>
        <v>0</v>
      </c>
      <c r="BN178" s="280">
        <f t="shared" si="439"/>
        <v>0</v>
      </c>
      <c r="BO178" s="280">
        <f t="shared" si="440"/>
        <v>0</v>
      </c>
      <c r="BP178" s="206"/>
      <c r="BQ178" s="138">
        <f>SUM(BQ177)</f>
        <v>0</v>
      </c>
      <c r="BR178" s="138">
        <f>SUM(BR177)</f>
        <v>0</v>
      </c>
      <c r="BS178" s="206"/>
      <c r="BT178" s="138">
        <f>SUM(BT177)</f>
        <v>0</v>
      </c>
      <c r="BU178" s="138">
        <f>SUM(BU177)</f>
        <v>0</v>
      </c>
      <c r="BV178" s="206"/>
      <c r="BW178" s="138">
        <f>SUM(BW177)</f>
        <v>0</v>
      </c>
      <c r="BX178" s="138">
        <f>SUM(BX177)</f>
        <v>0</v>
      </c>
      <c r="BY178" s="206"/>
      <c r="BZ178" s="138">
        <f>SUM(BZ177)</f>
        <v>0</v>
      </c>
      <c r="CA178" s="138">
        <f>SUM(CA177)</f>
        <v>0</v>
      </c>
      <c r="CB178" s="206"/>
      <c r="CC178" s="138">
        <f>SUM(CC177)</f>
        <v>0</v>
      </c>
      <c r="CD178" s="138">
        <f>SUM(CD177)</f>
        <v>0</v>
      </c>
      <c r="CE178" s="206"/>
      <c r="CF178" s="138">
        <f>SUM(CF177)</f>
        <v>0</v>
      </c>
      <c r="CG178" s="138">
        <f>SUM(CG177)</f>
        <v>0</v>
      </c>
      <c r="CH178" s="206"/>
      <c r="CI178" s="138">
        <f>SUM(CI177)</f>
        <v>0</v>
      </c>
      <c r="CJ178" s="138">
        <f>SUM(CJ177)</f>
        <v>0</v>
      </c>
      <c r="CK178" s="206"/>
      <c r="CL178" s="391">
        <f>SUM(CL177)</f>
        <v>0</v>
      </c>
      <c r="CM178" s="138">
        <f>SUM(CM177)</f>
        <v>0</v>
      </c>
      <c r="CN178" s="206"/>
      <c r="CO178" s="138">
        <f>SUM(CO177)</f>
        <v>0</v>
      </c>
      <c r="CP178" s="138">
        <f>SUM(CP177)</f>
        <v>0</v>
      </c>
      <c r="CQ178" s="206"/>
      <c r="CR178" s="138">
        <f>SUM(CR177)</f>
        <v>0</v>
      </c>
      <c r="CS178" s="138">
        <f>SUM(CS177)</f>
        <v>0</v>
      </c>
      <c r="CT178" s="206"/>
      <c r="CU178" s="138">
        <f>SUM(CU177)</f>
        <v>0</v>
      </c>
      <c r="CV178" s="138">
        <f>SUM(CV177)</f>
        <v>0</v>
      </c>
      <c r="CW178" s="206"/>
      <c r="CX178" s="138">
        <f>SUM(CX177)</f>
        <v>0</v>
      </c>
      <c r="CY178" s="138">
        <f>SUM(CY177)</f>
        <v>0</v>
      </c>
      <c r="CZ178" s="206"/>
      <c r="DA178" s="138">
        <f>SUM(DA177)</f>
        <v>0</v>
      </c>
      <c r="DB178" s="206"/>
      <c r="DC178" s="138">
        <f>SUM(DC177)</f>
        <v>0</v>
      </c>
      <c r="DD178" s="206"/>
      <c r="DE178" s="206"/>
      <c r="DF178" s="206"/>
      <c r="DG178" s="206"/>
      <c r="DH178" s="206"/>
      <c r="DI178" s="206"/>
      <c r="DJ178" s="206"/>
      <c r="DK178" s="206"/>
      <c r="DL178" s="206"/>
      <c r="DM178" s="206"/>
      <c r="DN178" s="206"/>
      <c r="DO178" s="206"/>
      <c r="DP178" s="206"/>
      <c r="DQ178" s="206"/>
      <c r="DR178" s="206"/>
      <c r="DS178" s="206"/>
      <c r="DT178" s="206"/>
      <c r="DU178" s="206"/>
      <c r="DV178" s="206"/>
      <c r="DW178" s="206"/>
      <c r="DX178" s="206"/>
      <c r="DY178" s="206"/>
      <c r="DZ178" s="206"/>
      <c r="EA178" s="206"/>
      <c r="EB178" s="206"/>
      <c r="EC178" s="206"/>
      <c r="ED178" s="206"/>
      <c r="EE178" s="206"/>
      <c r="EF178" s="206"/>
      <c r="EG178" s="206"/>
      <c r="EH178" s="206"/>
      <c r="EI178" s="206"/>
      <c r="EJ178" s="206"/>
      <c r="EK178" s="206"/>
      <c r="EL178" s="206"/>
      <c r="EM178" s="206"/>
      <c r="EN178" s="206"/>
      <c r="EO178" s="206"/>
      <c r="EP178" s="206"/>
      <c r="EQ178" s="206"/>
      <c r="ER178" s="206"/>
      <c r="ES178" s="206"/>
      <c r="ET178" s="206"/>
      <c r="EU178" s="206"/>
      <c r="EV178" s="206"/>
      <c r="EW178" s="206"/>
      <c r="EX178" s="206"/>
      <c r="EY178" s="206"/>
      <c r="EZ178" s="206"/>
      <c r="FA178" s="206"/>
      <c r="FB178" s="206"/>
      <c r="FC178" s="206"/>
      <c r="FD178" s="206"/>
      <c r="FE178" s="206"/>
      <c r="FF178" s="206"/>
      <c r="FG178" s="206"/>
      <c r="FH178" s="206"/>
      <c r="FI178" s="206"/>
      <c r="FJ178" s="206"/>
      <c r="FK178" s="206"/>
      <c r="FL178" s="206"/>
      <c r="FM178" s="206"/>
      <c r="FN178" s="206"/>
      <c r="FO178" s="206"/>
      <c r="FP178" s="206"/>
      <c r="FQ178" s="206"/>
      <c r="FR178" s="206"/>
      <c r="FS178" s="206"/>
      <c r="FT178" s="206"/>
      <c r="FU178" s="206"/>
      <c r="FV178" s="206"/>
      <c r="FW178" s="206"/>
      <c r="FX178" s="206"/>
      <c r="FY178" s="206"/>
      <c r="FZ178" s="206"/>
      <c r="GA178" s="206"/>
      <c r="GB178" s="206"/>
      <c r="GC178" s="206"/>
      <c r="GD178" s="206"/>
      <c r="GE178" s="206"/>
      <c r="GF178" s="206"/>
      <c r="GG178" s="206"/>
    </row>
    <row r="179" spans="1:189" ht="15.75" outlineLevel="1" thickTop="1">
      <c r="A179" s="14" t="s">
        <v>203</v>
      </c>
      <c r="B179" s="14" t="s">
        <v>204</v>
      </c>
      <c r="C179" s="4" t="s">
        <v>205</v>
      </c>
      <c r="D179" s="52">
        <v>2000</v>
      </c>
      <c r="E179" s="37">
        <v>31.55</v>
      </c>
      <c r="F179" s="52">
        <v>2000</v>
      </c>
      <c r="G179" s="37">
        <v>31.55</v>
      </c>
      <c r="H179" s="56">
        <v>631</v>
      </c>
      <c r="I179" s="40">
        <f>H179</f>
        <v>631</v>
      </c>
      <c r="J179" s="17"/>
      <c r="L179" s="134">
        <v>2000</v>
      </c>
      <c r="M179" s="20">
        <f t="shared" si="405"/>
        <v>0</v>
      </c>
      <c r="N179" s="20">
        <f t="shared" si="406"/>
        <v>2.1695721077654517</v>
      </c>
      <c r="Q179" s="134">
        <v>2000</v>
      </c>
      <c r="R179" s="18">
        <v>0</v>
      </c>
      <c r="S179" s="134">
        <v>2000</v>
      </c>
      <c r="T179" s="18">
        <f t="shared" ref="T179:T197" si="441">S179-Q179</f>
        <v>0</v>
      </c>
      <c r="U179" s="19">
        <f t="shared" si="427"/>
        <v>0</v>
      </c>
      <c r="Y179" s="134">
        <v>2000</v>
      </c>
      <c r="AA179" s="134">
        <v>500</v>
      </c>
      <c r="AB179" s="216">
        <f t="shared" ref="AB179:AB197" si="442">AA179-Y179</f>
        <v>-1500</v>
      </c>
      <c r="AC179" s="219">
        <f t="shared" ref="AC179:AC193" si="443">AA179-Y179</f>
        <v>-1500</v>
      </c>
      <c r="AD179" s="219"/>
      <c r="AE179" s="134">
        <v>500</v>
      </c>
      <c r="AF179" s="213"/>
      <c r="AH179" s="18">
        <v>404.2</v>
      </c>
      <c r="AI179" s="20">
        <f t="shared" si="428"/>
        <v>0.80840000000000001</v>
      </c>
      <c r="AK179" s="134">
        <v>2000</v>
      </c>
      <c r="AS179" s="18">
        <f t="shared" ref="AS179:AS192" si="444">AR179+AK179</f>
        <v>2000</v>
      </c>
      <c r="AV179" s="18">
        <f t="shared" si="433"/>
        <v>2000</v>
      </c>
      <c r="AX179" s="18"/>
      <c r="AY179" s="18">
        <f t="shared" ref="AY179:AY192" si="445">AV179+AX179</f>
        <v>2000</v>
      </c>
      <c r="BB179" s="18">
        <f t="shared" ref="BB179:BB192" si="446">AY179+BA179</f>
        <v>2000</v>
      </c>
      <c r="BD179" s="18"/>
      <c r="BE179" s="18">
        <f t="shared" ref="BE179:BE192" si="447">BB179+BD179</f>
        <v>2000</v>
      </c>
      <c r="BG179" s="18"/>
      <c r="BH179" s="18">
        <f t="shared" ref="BH179:BH192" si="448">BE179+BG179</f>
        <v>2000</v>
      </c>
      <c r="BJ179" s="18">
        <v>0</v>
      </c>
      <c r="BK179" s="279">
        <f t="shared" ref="BK179:BK192" si="449">BJ179/BH179</f>
        <v>0</v>
      </c>
      <c r="BL179" s="283"/>
      <c r="BM179" s="289">
        <v>0</v>
      </c>
      <c r="BN179" s="279" t="e">
        <f t="shared" si="439"/>
        <v>#DIV/0!</v>
      </c>
      <c r="BO179" s="279">
        <f t="shared" si="440"/>
        <v>0</v>
      </c>
      <c r="BP179" s="206"/>
      <c r="BQ179" s="289"/>
      <c r="BR179" s="18">
        <f t="shared" ref="BR179:BR197" si="450">BM179+BQ179</f>
        <v>0</v>
      </c>
      <c r="BS179" s="206"/>
      <c r="BT179" s="289"/>
      <c r="BU179" s="18">
        <f t="shared" ref="BU179:BU197" si="451">BR179+BT179</f>
        <v>0</v>
      </c>
      <c r="BV179" s="206"/>
      <c r="BW179" s="289"/>
      <c r="BX179" s="18">
        <f t="shared" ref="BX179:BX197" si="452">BU179+BW179</f>
        <v>0</v>
      </c>
      <c r="BY179" s="206"/>
      <c r="BZ179" s="289"/>
      <c r="CA179" s="18">
        <f t="shared" ref="CA179:CA197" si="453">BX179+BZ179</f>
        <v>0</v>
      </c>
      <c r="CB179" s="206"/>
      <c r="CC179" s="289"/>
      <c r="CD179" s="18">
        <f t="shared" ref="CD179:CD197" si="454">CA179+CC179</f>
        <v>0</v>
      </c>
      <c r="CE179" s="206"/>
      <c r="CF179" s="289"/>
      <c r="CG179" s="18">
        <f t="shared" ref="CG179:CG197" si="455">CD179+CF179</f>
        <v>0</v>
      </c>
      <c r="CI179" s="289"/>
      <c r="CJ179" s="18">
        <f t="shared" ref="CJ179:CJ197" si="456">CG179+CI179</f>
        <v>0</v>
      </c>
      <c r="CK179" s="206"/>
      <c r="CM179" s="18">
        <f t="shared" ref="CM179:CM197" si="457">CJ179+CL179</f>
        <v>0</v>
      </c>
      <c r="CN179" s="206"/>
      <c r="CP179" s="18">
        <f t="shared" ref="CP179:CP197" si="458">CM179+CO179</f>
        <v>0</v>
      </c>
      <c r="CQ179" s="206"/>
      <c r="CS179" s="18">
        <f t="shared" ref="CS179:CS197" si="459">CP179+CR179</f>
        <v>0</v>
      </c>
      <c r="CT179" s="206"/>
      <c r="CV179" s="18">
        <f t="shared" ref="CV179:CV197" si="460">CS179+CU179</f>
        <v>0</v>
      </c>
      <c r="CW179" s="206"/>
      <c r="CY179" s="18">
        <f t="shared" ref="CY179:CY197" si="461">CV179+CX179</f>
        <v>0</v>
      </c>
      <c r="CZ179" s="206"/>
      <c r="DB179" s="206"/>
      <c r="DC179" s="289">
        <v>5000</v>
      </c>
      <c r="DD179" s="206"/>
      <c r="DE179" s="206"/>
      <c r="DF179" s="206"/>
      <c r="DG179" s="206"/>
      <c r="DH179" s="206"/>
      <c r="DI179" s="206"/>
      <c r="DJ179" s="206"/>
      <c r="DK179" s="206"/>
      <c r="DL179" s="206"/>
      <c r="DM179" s="206"/>
      <c r="DN179" s="206"/>
      <c r="DO179" s="206"/>
      <c r="DP179" s="206"/>
      <c r="DQ179" s="206"/>
      <c r="DR179" s="206"/>
      <c r="DS179" s="206"/>
      <c r="DT179" s="206"/>
      <c r="DU179" s="206"/>
      <c r="DV179" s="206"/>
      <c r="DW179" s="206"/>
      <c r="DX179" s="206"/>
      <c r="DY179" s="206"/>
      <c r="DZ179" s="206"/>
      <c r="EA179" s="206"/>
      <c r="EB179" s="206"/>
      <c r="EC179" s="206"/>
      <c r="ED179" s="206"/>
      <c r="EE179" s="206"/>
      <c r="EF179" s="206"/>
      <c r="EG179" s="206"/>
      <c r="EH179" s="206"/>
      <c r="EI179" s="206"/>
      <c r="EJ179" s="206"/>
      <c r="EK179" s="206"/>
      <c r="EL179" s="206"/>
      <c r="EM179" s="206"/>
      <c r="EN179" s="206"/>
      <c r="EO179" s="206"/>
      <c r="EP179" s="206"/>
      <c r="EQ179" s="206"/>
      <c r="ER179" s="206"/>
      <c r="ES179" s="206"/>
      <c r="ET179" s="206"/>
      <c r="EU179" s="206"/>
      <c r="EV179" s="206"/>
      <c r="EW179" s="206"/>
      <c r="EX179" s="206"/>
      <c r="EY179" s="206"/>
      <c r="EZ179" s="206"/>
      <c r="FA179" s="206"/>
      <c r="FB179" s="206"/>
      <c r="FC179" s="206"/>
      <c r="FD179" s="206"/>
      <c r="FE179" s="206"/>
      <c r="FF179" s="206"/>
      <c r="FG179" s="206"/>
      <c r="FH179" s="206"/>
      <c r="FI179" s="206"/>
      <c r="FJ179" s="206"/>
      <c r="FK179" s="206"/>
      <c r="FL179" s="206"/>
      <c r="FM179" s="206"/>
      <c r="FN179" s="206"/>
      <c r="FO179" s="206"/>
      <c r="FP179" s="206"/>
      <c r="FQ179" s="206"/>
      <c r="FR179" s="206"/>
      <c r="FS179" s="206"/>
      <c r="FT179" s="206"/>
      <c r="FU179" s="206"/>
      <c r="FV179" s="206"/>
      <c r="FW179" s="206"/>
      <c r="FX179" s="206"/>
      <c r="FY179" s="206"/>
      <c r="FZ179" s="206"/>
      <c r="GA179" s="206"/>
      <c r="GB179" s="206"/>
      <c r="GC179" s="206"/>
      <c r="GD179" s="206"/>
      <c r="GE179" s="206"/>
      <c r="GF179" s="206"/>
      <c r="GG179" s="206"/>
    </row>
    <row r="180" spans="1:189" outlineLevel="1">
      <c r="A180" s="14" t="s">
        <v>203</v>
      </c>
      <c r="B180" s="14" t="s">
        <v>206</v>
      </c>
      <c r="C180" s="4" t="s">
        <v>207</v>
      </c>
      <c r="D180" s="52">
        <v>500</v>
      </c>
      <c r="E180" s="37">
        <v>43</v>
      </c>
      <c r="F180" s="52">
        <v>500</v>
      </c>
      <c r="G180" s="37">
        <v>43</v>
      </c>
      <c r="H180" s="56">
        <v>215</v>
      </c>
      <c r="I180" s="40">
        <f>H180</f>
        <v>215</v>
      </c>
      <c r="J180" s="17"/>
      <c r="L180" s="134">
        <v>500</v>
      </c>
      <c r="M180" s="20">
        <f t="shared" si="405"/>
        <v>0</v>
      </c>
      <c r="N180" s="20">
        <f t="shared" si="406"/>
        <v>1.3255813953488373</v>
      </c>
      <c r="Q180" s="134">
        <v>500</v>
      </c>
      <c r="R180" s="18">
        <v>0</v>
      </c>
      <c r="S180" s="134">
        <v>500</v>
      </c>
      <c r="T180" s="18">
        <f t="shared" si="441"/>
        <v>0</v>
      </c>
      <c r="U180" s="19">
        <f t="shared" si="427"/>
        <v>0</v>
      </c>
      <c r="Y180" s="134">
        <v>500</v>
      </c>
      <c r="AA180" s="134">
        <v>150</v>
      </c>
      <c r="AB180" s="216">
        <f t="shared" si="442"/>
        <v>-350</v>
      </c>
      <c r="AC180" s="219">
        <f t="shared" si="443"/>
        <v>-350</v>
      </c>
      <c r="AD180" s="219"/>
      <c r="AE180" s="134">
        <v>150</v>
      </c>
      <c r="AF180" s="213"/>
      <c r="AH180" s="18">
        <v>136.80000000000001</v>
      </c>
      <c r="AI180" s="20">
        <f t="shared" si="428"/>
        <v>0.91200000000000003</v>
      </c>
      <c r="AK180" s="134">
        <v>600</v>
      </c>
      <c r="AS180" s="18">
        <f t="shared" si="444"/>
        <v>600</v>
      </c>
      <c r="AV180" s="18">
        <f t="shared" si="433"/>
        <v>600</v>
      </c>
      <c r="AX180" s="18"/>
      <c r="AY180" s="18">
        <f t="shared" si="445"/>
        <v>600</v>
      </c>
      <c r="BB180" s="18">
        <f t="shared" si="446"/>
        <v>600</v>
      </c>
      <c r="BD180" s="18"/>
      <c r="BE180" s="18">
        <f t="shared" si="447"/>
        <v>600</v>
      </c>
      <c r="BG180" s="18"/>
      <c r="BH180" s="18">
        <f t="shared" si="448"/>
        <v>600</v>
      </c>
      <c r="BJ180" s="18">
        <v>0</v>
      </c>
      <c r="BK180" s="279">
        <f t="shared" si="449"/>
        <v>0</v>
      </c>
      <c r="BM180" s="327">
        <v>0</v>
      </c>
      <c r="BN180" s="279" t="e">
        <f t="shared" si="439"/>
        <v>#DIV/0!</v>
      </c>
      <c r="BO180" s="279">
        <f t="shared" si="440"/>
        <v>0</v>
      </c>
      <c r="BQ180" s="289"/>
      <c r="BR180" s="18">
        <f t="shared" si="450"/>
        <v>0</v>
      </c>
      <c r="BT180" s="289"/>
      <c r="BU180" s="18">
        <f t="shared" si="451"/>
        <v>0</v>
      </c>
      <c r="BW180" s="289"/>
      <c r="BX180" s="18">
        <f t="shared" si="452"/>
        <v>0</v>
      </c>
      <c r="BZ180" s="289"/>
      <c r="CA180" s="18">
        <f t="shared" si="453"/>
        <v>0</v>
      </c>
      <c r="CC180" s="289"/>
      <c r="CD180" s="18">
        <f t="shared" si="454"/>
        <v>0</v>
      </c>
      <c r="CF180" s="289"/>
      <c r="CG180" s="18">
        <f t="shared" si="455"/>
        <v>0</v>
      </c>
      <c r="CI180" s="289"/>
      <c r="CJ180" s="18">
        <f t="shared" si="456"/>
        <v>0</v>
      </c>
      <c r="CM180" s="18">
        <f t="shared" si="457"/>
        <v>0</v>
      </c>
      <c r="CO180" s="327"/>
      <c r="CP180" s="18">
        <f t="shared" si="458"/>
        <v>0</v>
      </c>
      <c r="CR180" s="327"/>
      <c r="CS180" s="18">
        <f t="shared" si="459"/>
        <v>0</v>
      </c>
      <c r="CU180" s="327"/>
      <c r="CV180" s="18">
        <f t="shared" si="460"/>
        <v>0</v>
      </c>
      <c r="CX180" s="327"/>
      <c r="CY180" s="18">
        <f t="shared" si="461"/>
        <v>0</v>
      </c>
      <c r="DA180" s="327"/>
      <c r="DC180" s="327"/>
    </row>
    <row r="181" spans="1:189" outlineLevel="1">
      <c r="A181" s="388" t="s">
        <v>203</v>
      </c>
      <c r="B181" s="388" t="s">
        <v>191</v>
      </c>
      <c r="C181" s="4" t="s">
        <v>192</v>
      </c>
      <c r="D181" s="52"/>
      <c r="E181" s="37"/>
      <c r="F181" s="52"/>
      <c r="G181" s="37"/>
      <c r="H181" s="56"/>
      <c r="I181" s="40"/>
      <c r="J181" s="17"/>
      <c r="M181" s="20"/>
      <c r="N181" s="20"/>
      <c r="U181" s="19"/>
      <c r="Y181" s="134"/>
      <c r="AB181" s="216"/>
      <c r="AC181" s="219"/>
      <c r="AD181" s="219"/>
      <c r="AF181" s="213"/>
      <c r="AH181" s="18"/>
      <c r="AI181" s="20"/>
      <c r="AS181" s="18"/>
      <c r="AV181" s="18"/>
      <c r="AX181" s="18"/>
      <c r="AY181" s="18"/>
      <c r="BB181" s="18"/>
      <c r="BD181" s="18"/>
      <c r="BE181" s="18"/>
      <c r="BG181" s="18"/>
      <c r="BH181" s="18"/>
      <c r="BK181" s="279"/>
      <c r="BM181" s="327"/>
      <c r="BN181" s="279"/>
      <c r="BO181" s="279"/>
      <c r="BQ181" s="289"/>
      <c r="BR181" s="18"/>
      <c r="BT181" s="289"/>
      <c r="BU181" s="18"/>
      <c r="BW181" s="289"/>
      <c r="BX181" s="18"/>
      <c r="BZ181" s="289"/>
      <c r="CA181" s="18"/>
      <c r="CC181" s="289"/>
      <c r="CD181" s="18"/>
      <c r="CF181" s="289"/>
      <c r="CG181" s="18"/>
      <c r="CI181" s="289"/>
      <c r="CJ181" s="18"/>
      <c r="CM181" s="18"/>
      <c r="CO181" s="327">
        <v>2500</v>
      </c>
      <c r="CP181" s="18">
        <f t="shared" si="458"/>
        <v>2500</v>
      </c>
      <c r="CR181" s="327"/>
      <c r="CS181" s="18">
        <f t="shared" si="459"/>
        <v>2500</v>
      </c>
      <c r="CU181" s="327"/>
      <c r="CV181" s="18">
        <f t="shared" si="460"/>
        <v>2500</v>
      </c>
      <c r="CX181" s="327"/>
      <c r="CY181" s="18">
        <f t="shared" si="461"/>
        <v>2500</v>
      </c>
      <c r="DA181" s="327">
        <v>2244</v>
      </c>
      <c r="DC181" s="327"/>
    </row>
    <row r="182" spans="1:189" outlineLevel="1">
      <c r="A182" s="14" t="s">
        <v>203</v>
      </c>
      <c r="B182" s="14" t="s">
        <v>115</v>
      </c>
      <c r="C182" s="4" t="s">
        <v>116</v>
      </c>
      <c r="D182" s="52">
        <v>30000</v>
      </c>
      <c r="E182" s="37">
        <v>73.739999999999995</v>
      </c>
      <c r="F182" s="52">
        <v>30000</v>
      </c>
      <c r="G182" s="37">
        <v>73.739999999999995</v>
      </c>
      <c r="H182" s="56">
        <v>22122</v>
      </c>
      <c r="I182" s="40">
        <f>H182</f>
        <v>22122</v>
      </c>
      <c r="J182" s="17"/>
      <c r="L182" s="134">
        <f>'[1]2020'!$Q$61</f>
        <v>20000</v>
      </c>
      <c r="M182" s="20">
        <f>L182/F182-1</f>
        <v>-0.33333333333333337</v>
      </c>
      <c r="N182" s="20">
        <f>L182/I182-1</f>
        <v>-9.5922610975499478E-2</v>
      </c>
      <c r="Q182" s="134">
        <v>20000</v>
      </c>
      <c r="R182" s="18">
        <v>19649</v>
      </c>
      <c r="S182" s="178">
        <f>19700+12000</f>
        <v>31700</v>
      </c>
      <c r="T182" s="18">
        <f t="shared" si="441"/>
        <v>11700</v>
      </c>
      <c r="U182" s="19">
        <f t="shared" si="427"/>
        <v>0.58499999999999996</v>
      </c>
      <c r="Y182" s="143">
        <f>19700+12000</f>
        <v>31700</v>
      </c>
      <c r="AA182" s="134">
        <v>31700</v>
      </c>
      <c r="AB182" s="216">
        <f t="shared" si="442"/>
        <v>0</v>
      </c>
      <c r="AC182" s="219">
        <f t="shared" si="443"/>
        <v>0</v>
      </c>
      <c r="AD182" s="219"/>
      <c r="AE182" s="134">
        <v>31700</v>
      </c>
      <c r="AF182" s="213"/>
      <c r="AH182" s="18">
        <v>31507</v>
      </c>
      <c r="AI182" s="20">
        <f t="shared" si="428"/>
        <v>0.9939116719242902</v>
      </c>
      <c r="AK182" s="134">
        <v>0</v>
      </c>
      <c r="AS182" s="18">
        <f t="shared" si="444"/>
        <v>0</v>
      </c>
      <c r="AV182" s="18">
        <f t="shared" si="433"/>
        <v>0</v>
      </c>
      <c r="AX182" s="18"/>
      <c r="AY182" s="18">
        <f t="shared" si="445"/>
        <v>0</v>
      </c>
      <c r="BB182" s="18">
        <f t="shared" si="446"/>
        <v>0</v>
      </c>
      <c r="BD182" s="18"/>
      <c r="BE182" s="18">
        <f t="shared" si="447"/>
        <v>0</v>
      </c>
      <c r="BG182" s="18"/>
      <c r="BH182" s="18">
        <f t="shared" si="448"/>
        <v>0</v>
      </c>
      <c r="BJ182" s="18">
        <v>0</v>
      </c>
      <c r="BK182" s="279" t="e">
        <f t="shared" si="449"/>
        <v>#DIV/0!</v>
      </c>
      <c r="BM182" s="327">
        <f>29000+3500</f>
        <v>32500</v>
      </c>
      <c r="BN182" s="279" t="e">
        <f t="shared" si="439"/>
        <v>#DIV/0!</v>
      </c>
      <c r="BO182" s="279" t="e">
        <f t="shared" si="440"/>
        <v>#DIV/0!</v>
      </c>
      <c r="BQ182" s="349">
        <v>-1000</v>
      </c>
      <c r="BR182" s="18">
        <f t="shared" si="450"/>
        <v>31500</v>
      </c>
      <c r="BT182" s="289"/>
      <c r="BU182" s="18">
        <f t="shared" si="451"/>
        <v>31500</v>
      </c>
      <c r="BW182" s="289"/>
      <c r="BX182" s="18">
        <f t="shared" si="452"/>
        <v>31500</v>
      </c>
      <c r="BZ182" s="289"/>
      <c r="CA182" s="18">
        <f t="shared" si="453"/>
        <v>31500</v>
      </c>
      <c r="CC182" s="289"/>
      <c r="CD182" s="18">
        <f t="shared" si="454"/>
        <v>31500</v>
      </c>
      <c r="CF182" s="289"/>
      <c r="CG182" s="18">
        <f t="shared" si="455"/>
        <v>31500</v>
      </c>
      <c r="CI182" s="289"/>
      <c r="CJ182" s="18">
        <f t="shared" si="456"/>
        <v>31500</v>
      </c>
      <c r="CM182" s="18">
        <f t="shared" si="457"/>
        <v>31500</v>
      </c>
      <c r="CO182" s="327"/>
      <c r="CP182" s="18">
        <f t="shared" si="458"/>
        <v>31500</v>
      </c>
      <c r="CR182" s="327"/>
      <c r="CS182" s="18">
        <f t="shared" si="459"/>
        <v>31500</v>
      </c>
      <c r="CU182" s="349">
        <v>-4000</v>
      </c>
      <c r="CV182" s="18">
        <f t="shared" si="460"/>
        <v>27500</v>
      </c>
      <c r="CX182" s="349"/>
      <c r="CY182" s="18">
        <f t="shared" si="461"/>
        <v>27500</v>
      </c>
      <c r="DA182" s="327">
        <v>27490</v>
      </c>
      <c r="DC182" s="327">
        <v>30000</v>
      </c>
    </row>
    <row r="183" spans="1:189" outlineLevel="1">
      <c r="A183" s="14" t="s">
        <v>203</v>
      </c>
      <c r="B183" s="14" t="s">
        <v>148</v>
      </c>
      <c r="C183" s="4" t="s">
        <v>149</v>
      </c>
      <c r="D183" s="52">
        <v>20000</v>
      </c>
      <c r="E183" s="37">
        <v>105.09</v>
      </c>
      <c r="F183" s="52">
        <v>34600</v>
      </c>
      <c r="G183" s="37">
        <v>60.75</v>
      </c>
      <c r="H183" s="56">
        <v>21018.5</v>
      </c>
      <c r="I183" s="40">
        <f>H183</f>
        <v>21018.5</v>
      </c>
      <c r="J183" s="17"/>
      <c r="L183" s="134">
        <f>'[1]2020'!$Q$61</f>
        <v>20000</v>
      </c>
      <c r="M183" s="20">
        <f>L183/F183-1</f>
        <v>-0.4219653179190751</v>
      </c>
      <c r="N183" s="20">
        <f>L183/I183-1</f>
        <v>-4.8457311416133408E-2</v>
      </c>
      <c r="Q183" s="134">
        <v>30500</v>
      </c>
      <c r="R183" s="18">
        <v>758</v>
      </c>
      <c r="S183" s="178">
        <v>15500</v>
      </c>
      <c r="T183" s="18">
        <f t="shared" si="441"/>
        <v>-15000</v>
      </c>
      <c r="U183" s="19">
        <f t="shared" si="427"/>
        <v>-0.49180327868852458</v>
      </c>
      <c r="Y183" s="143">
        <v>13000</v>
      </c>
      <c r="AA183" s="134">
        <v>1000</v>
      </c>
      <c r="AB183" s="216">
        <f t="shared" si="442"/>
        <v>-12000</v>
      </c>
      <c r="AC183" s="219">
        <f t="shared" si="443"/>
        <v>-12000</v>
      </c>
      <c r="AD183" s="219"/>
      <c r="AE183" s="134">
        <v>1000</v>
      </c>
      <c r="AF183" s="213"/>
      <c r="AH183" s="18">
        <v>758</v>
      </c>
      <c r="AI183" s="20">
        <f t="shared" si="428"/>
        <v>0.75800000000000001</v>
      </c>
      <c r="AK183" s="143">
        <v>14000</v>
      </c>
      <c r="AS183" s="18">
        <f t="shared" si="444"/>
        <v>14000</v>
      </c>
      <c r="AV183" s="18">
        <f t="shared" si="433"/>
        <v>14000</v>
      </c>
      <c r="AX183" s="18"/>
      <c r="AY183" s="18">
        <f t="shared" si="445"/>
        <v>14000</v>
      </c>
      <c r="BB183" s="18">
        <f t="shared" si="446"/>
        <v>14000</v>
      </c>
      <c r="BD183" s="18">
        <v>3000</v>
      </c>
      <c r="BE183" s="18">
        <f t="shared" si="447"/>
        <v>17000</v>
      </c>
      <c r="BG183" s="18"/>
      <c r="BH183" s="18">
        <f t="shared" si="448"/>
        <v>17000</v>
      </c>
      <c r="BJ183" s="18">
        <v>15001</v>
      </c>
      <c r="BK183" s="279">
        <f t="shared" si="449"/>
        <v>0.88241176470588234</v>
      </c>
      <c r="BM183" s="327">
        <f>6000+1500+500</f>
        <v>8000</v>
      </c>
      <c r="BN183" s="279">
        <f t="shared" si="439"/>
        <v>0.53329778014799012</v>
      </c>
      <c r="BO183" s="279">
        <f t="shared" si="440"/>
        <v>0.47058823529411764</v>
      </c>
      <c r="BQ183" s="289"/>
      <c r="BR183" s="18">
        <f t="shared" si="450"/>
        <v>8000</v>
      </c>
      <c r="BT183" s="289"/>
      <c r="BU183" s="18">
        <f t="shared" si="451"/>
        <v>8000</v>
      </c>
      <c r="BW183" s="289"/>
      <c r="BX183" s="18">
        <f t="shared" si="452"/>
        <v>8000</v>
      </c>
      <c r="BZ183" s="289"/>
      <c r="CA183" s="18">
        <f t="shared" si="453"/>
        <v>8000</v>
      </c>
      <c r="CC183" s="289"/>
      <c r="CD183" s="18">
        <f t="shared" si="454"/>
        <v>8000</v>
      </c>
      <c r="CF183" s="289"/>
      <c r="CG183" s="18">
        <f t="shared" si="455"/>
        <v>8000</v>
      </c>
      <c r="CI183" s="289"/>
      <c r="CJ183" s="18">
        <f t="shared" si="456"/>
        <v>8000</v>
      </c>
      <c r="CM183" s="18">
        <f t="shared" si="457"/>
        <v>8000</v>
      </c>
      <c r="CO183" s="327"/>
      <c r="CP183" s="18">
        <f t="shared" si="458"/>
        <v>8000</v>
      </c>
      <c r="CR183" s="327"/>
      <c r="CS183" s="18">
        <f t="shared" si="459"/>
        <v>8000</v>
      </c>
      <c r="CU183" s="349">
        <v>-5500</v>
      </c>
      <c r="CV183" s="18">
        <f t="shared" si="460"/>
        <v>2500</v>
      </c>
      <c r="CX183" s="349"/>
      <c r="CY183" s="18">
        <f t="shared" si="461"/>
        <v>2500</v>
      </c>
      <c r="DA183" s="327">
        <v>2081</v>
      </c>
      <c r="DC183" s="327">
        <v>20000</v>
      </c>
    </row>
    <row r="184" spans="1:189" outlineLevel="1">
      <c r="A184" s="14" t="s">
        <v>203</v>
      </c>
      <c r="B184" s="14" t="s">
        <v>159</v>
      </c>
      <c r="C184" s="4" t="s">
        <v>160</v>
      </c>
      <c r="D184" s="52">
        <v>20000</v>
      </c>
      <c r="E184" s="37">
        <v>5</v>
      </c>
      <c r="F184" s="52">
        <v>20000</v>
      </c>
      <c r="G184" s="37">
        <v>5</v>
      </c>
      <c r="H184" s="56">
        <v>999</v>
      </c>
      <c r="I184" s="40">
        <v>1200</v>
      </c>
      <c r="J184" s="17"/>
      <c r="K184" t="s">
        <v>336</v>
      </c>
      <c r="L184" s="134">
        <v>1500</v>
      </c>
      <c r="M184" s="20">
        <f>L184/F184-1</f>
        <v>-0.92500000000000004</v>
      </c>
      <c r="N184" s="20">
        <f>L184/I184-1</f>
        <v>0.25</v>
      </c>
      <c r="Q184" s="134">
        <v>1500</v>
      </c>
      <c r="R184" s="18">
        <v>776</v>
      </c>
      <c r="S184" s="134">
        <v>1500</v>
      </c>
      <c r="T184" s="18">
        <f t="shared" si="441"/>
        <v>0</v>
      </c>
      <c r="U184" s="19">
        <f t="shared" si="427"/>
        <v>0</v>
      </c>
      <c r="Y184" s="134">
        <v>1500</v>
      </c>
      <c r="AA184" s="134">
        <v>1500</v>
      </c>
      <c r="AB184" s="216">
        <f t="shared" si="442"/>
        <v>0</v>
      </c>
      <c r="AC184" s="219">
        <f t="shared" si="443"/>
        <v>0</v>
      </c>
      <c r="AD184" s="219"/>
      <c r="AE184" s="134">
        <v>1600</v>
      </c>
      <c r="AF184" s="213">
        <f>AE184-AA184</f>
        <v>100</v>
      </c>
      <c r="AH184" s="18">
        <v>1530</v>
      </c>
      <c r="AI184" s="20">
        <f t="shared" si="428"/>
        <v>0.95625000000000004</v>
      </c>
      <c r="AK184" s="134">
        <v>1700</v>
      </c>
      <c r="AS184" s="18">
        <f t="shared" si="444"/>
        <v>1700</v>
      </c>
      <c r="AV184" s="18">
        <f t="shared" si="433"/>
        <v>1700</v>
      </c>
      <c r="AX184" s="18"/>
      <c r="AY184" s="18">
        <f t="shared" si="445"/>
        <v>1700</v>
      </c>
      <c r="BB184" s="18">
        <f t="shared" si="446"/>
        <v>1700</v>
      </c>
      <c r="BD184" s="18"/>
      <c r="BE184" s="18">
        <f t="shared" si="447"/>
        <v>1700</v>
      </c>
      <c r="BG184" s="18"/>
      <c r="BH184" s="18">
        <f t="shared" si="448"/>
        <v>1700</v>
      </c>
      <c r="BJ184" s="18">
        <v>305</v>
      </c>
      <c r="BK184" s="279">
        <f t="shared" si="449"/>
        <v>0.17941176470588235</v>
      </c>
      <c r="BM184" s="327">
        <v>400</v>
      </c>
      <c r="BN184" s="279">
        <f t="shared" si="439"/>
        <v>1.3114754098360655</v>
      </c>
      <c r="BO184" s="279">
        <f t="shared" si="440"/>
        <v>0.23529411764705882</v>
      </c>
      <c r="BQ184" s="289"/>
      <c r="BR184" s="18">
        <f t="shared" si="450"/>
        <v>400</v>
      </c>
      <c r="BT184" s="289"/>
      <c r="BU184" s="18">
        <f t="shared" si="451"/>
        <v>400</v>
      </c>
      <c r="BW184" s="289"/>
      <c r="BX184" s="18">
        <f t="shared" si="452"/>
        <v>400</v>
      </c>
      <c r="BZ184" s="289"/>
      <c r="CA184" s="18">
        <f t="shared" si="453"/>
        <v>400</v>
      </c>
      <c r="CC184" s="289"/>
      <c r="CD184" s="18">
        <f t="shared" si="454"/>
        <v>400</v>
      </c>
      <c r="CF184" s="289"/>
      <c r="CG184" s="18">
        <f t="shared" si="455"/>
        <v>400</v>
      </c>
      <c r="CI184" s="289"/>
      <c r="CJ184" s="18">
        <f t="shared" si="456"/>
        <v>400</v>
      </c>
      <c r="CM184" s="18">
        <f t="shared" si="457"/>
        <v>400</v>
      </c>
      <c r="CO184" s="327"/>
      <c r="CP184" s="18">
        <f t="shared" si="458"/>
        <v>400</v>
      </c>
      <c r="CR184" s="327"/>
      <c r="CS184" s="18">
        <f t="shared" si="459"/>
        <v>400</v>
      </c>
      <c r="CU184" s="327"/>
      <c r="CV184" s="18">
        <f t="shared" si="460"/>
        <v>400</v>
      </c>
      <c r="CX184" s="327"/>
      <c r="CY184" s="18">
        <f t="shared" si="461"/>
        <v>400</v>
      </c>
      <c r="DA184" s="327">
        <v>196</v>
      </c>
      <c r="DC184" s="327">
        <v>500</v>
      </c>
    </row>
    <row r="185" spans="1:189" outlineLevel="1">
      <c r="A185" s="14" t="s">
        <v>203</v>
      </c>
      <c r="B185" s="14" t="s">
        <v>161</v>
      </c>
      <c r="C185" s="4" t="s">
        <v>162</v>
      </c>
      <c r="D185" s="52">
        <v>3000</v>
      </c>
      <c r="E185" s="37">
        <v>51.1</v>
      </c>
      <c r="F185" s="52">
        <v>3000</v>
      </c>
      <c r="G185" s="37">
        <v>51.1</v>
      </c>
      <c r="H185" s="56">
        <v>1533</v>
      </c>
      <c r="I185" s="40">
        <v>5000</v>
      </c>
      <c r="J185" s="17"/>
      <c r="K185" t="s">
        <v>336</v>
      </c>
      <c r="L185" s="134">
        <v>5000</v>
      </c>
      <c r="M185" s="20">
        <f>L185/F185-1</f>
        <v>0.66666666666666674</v>
      </c>
      <c r="N185" s="20">
        <f>L185/I185-1</f>
        <v>0</v>
      </c>
      <c r="Q185" s="134">
        <v>5000</v>
      </c>
      <c r="R185" s="18">
        <v>1963</v>
      </c>
      <c r="S185" s="134">
        <v>3500</v>
      </c>
      <c r="T185" s="18">
        <f t="shared" si="441"/>
        <v>-1500</v>
      </c>
      <c r="U185" s="19">
        <f t="shared" si="427"/>
        <v>-0.30000000000000004</v>
      </c>
      <c r="Y185" s="134">
        <v>3500</v>
      </c>
      <c r="AA185" s="134">
        <v>5000</v>
      </c>
      <c r="AB185" s="216">
        <f t="shared" si="442"/>
        <v>1500</v>
      </c>
      <c r="AC185" s="219">
        <f t="shared" si="443"/>
        <v>1500</v>
      </c>
      <c r="AD185" s="219"/>
      <c r="AE185" s="134">
        <v>5000</v>
      </c>
      <c r="AF185" s="213"/>
      <c r="AH185" s="18">
        <v>4562.71</v>
      </c>
      <c r="AI185" s="20">
        <f t="shared" si="428"/>
        <v>0.91254199999999996</v>
      </c>
      <c r="AK185" s="134">
        <v>5000</v>
      </c>
      <c r="AS185" s="18">
        <f t="shared" si="444"/>
        <v>5000</v>
      </c>
      <c r="AV185" s="18">
        <f t="shared" si="433"/>
        <v>5000</v>
      </c>
      <c r="AX185" s="18"/>
      <c r="AY185" s="18">
        <f t="shared" si="445"/>
        <v>5000</v>
      </c>
      <c r="BB185" s="18">
        <f t="shared" si="446"/>
        <v>5000</v>
      </c>
      <c r="BD185" s="18"/>
      <c r="BE185" s="18">
        <f t="shared" si="447"/>
        <v>5000</v>
      </c>
      <c r="BG185" s="18"/>
      <c r="BH185" s="18">
        <f t="shared" si="448"/>
        <v>5000</v>
      </c>
      <c r="BJ185" s="18">
        <v>3274.16</v>
      </c>
      <c r="BK185" s="279">
        <f t="shared" si="449"/>
        <v>0.65483199999999997</v>
      </c>
      <c r="BM185" s="292">
        <f>12*1000</f>
        <v>12000</v>
      </c>
      <c r="BN185" s="279">
        <f t="shared" si="439"/>
        <v>3.665062183888387</v>
      </c>
      <c r="BO185" s="279">
        <f t="shared" si="440"/>
        <v>2.4</v>
      </c>
      <c r="BQ185" s="289"/>
      <c r="BR185" s="18">
        <f t="shared" si="450"/>
        <v>12000</v>
      </c>
      <c r="BT185" s="289"/>
      <c r="BU185" s="18">
        <f t="shared" si="451"/>
        <v>12000</v>
      </c>
      <c r="BW185" s="289">
        <v>12000</v>
      </c>
      <c r="BX185" s="18">
        <f t="shared" si="452"/>
        <v>24000</v>
      </c>
      <c r="BZ185" s="289"/>
      <c r="CA185" s="18">
        <f t="shared" si="453"/>
        <v>24000</v>
      </c>
      <c r="CC185" s="289"/>
      <c r="CD185" s="18">
        <f t="shared" si="454"/>
        <v>24000</v>
      </c>
      <c r="CF185" s="289"/>
      <c r="CG185" s="18">
        <f t="shared" si="455"/>
        <v>24000</v>
      </c>
      <c r="CI185" s="289"/>
      <c r="CJ185" s="18">
        <f t="shared" si="456"/>
        <v>24000</v>
      </c>
      <c r="CM185" s="18">
        <f t="shared" si="457"/>
        <v>24000</v>
      </c>
      <c r="CO185" s="327"/>
      <c r="CP185" s="18">
        <f t="shared" si="458"/>
        <v>24000</v>
      </c>
      <c r="CR185" s="327"/>
      <c r="CS185" s="18">
        <f t="shared" si="459"/>
        <v>24000</v>
      </c>
      <c r="CU185" s="349">
        <v>-4000</v>
      </c>
      <c r="CV185" s="18">
        <f t="shared" si="460"/>
        <v>20000</v>
      </c>
      <c r="CX185" s="349"/>
      <c r="CY185" s="18">
        <f t="shared" si="461"/>
        <v>20000</v>
      </c>
      <c r="DA185" s="327">
        <v>19752.55</v>
      </c>
      <c r="DC185" s="327">
        <v>19000</v>
      </c>
    </row>
    <row r="186" spans="1:189" outlineLevel="1">
      <c r="A186" s="14" t="s">
        <v>203</v>
      </c>
      <c r="B186" s="14" t="s">
        <v>163</v>
      </c>
      <c r="C186" s="4" t="s">
        <v>164</v>
      </c>
      <c r="D186" s="52">
        <v>11000</v>
      </c>
      <c r="E186" s="37">
        <v>77.86</v>
      </c>
      <c r="F186" s="52">
        <v>11000</v>
      </c>
      <c r="G186" s="37">
        <v>77.86</v>
      </c>
      <c r="H186" s="56">
        <v>8565</v>
      </c>
      <c r="I186" s="18">
        <v>11000</v>
      </c>
      <c r="K186" t="s">
        <v>336</v>
      </c>
      <c r="L186" s="134">
        <v>14000</v>
      </c>
      <c r="M186" s="20">
        <f t="shared" si="405"/>
        <v>0.27272727272727271</v>
      </c>
      <c r="N186" s="20">
        <f t="shared" si="406"/>
        <v>0.27272727272727271</v>
      </c>
      <c r="Q186" s="134">
        <v>14000</v>
      </c>
      <c r="R186" s="18">
        <v>4202</v>
      </c>
      <c r="S186" s="134">
        <v>12000</v>
      </c>
      <c r="T186" s="18">
        <f t="shared" si="441"/>
        <v>-2000</v>
      </c>
      <c r="U186" s="19">
        <f t="shared" si="427"/>
        <v>-0.1428571428571429</v>
      </c>
      <c r="Y186" s="134">
        <v>8800</v>
      </c>
      <c r="Z186">
        <v>10300</v>
      </c>
      <c r="AA186" s="134">
        <v>8800</v>
      </c>
      <c r="AB186" s="216">
        <f t="shared" si="442"/>
        <v>0</v>
      </c>
      <c r="AC186" s="219">
        <f t="shared" si="443"/>
        <v>0</v>
      </c>
      <c r="AD186" s="219"/>
      <c r="AE186" s="134">
        <v>8800</v>
      </c>
      <c r="AF186" s="213"/>
      <c r="AH186" s="18">
        <v>6304</v>
      </c>
      <c r="AI186" s="20">
        <f t="shared" si="428"/>
        <v>0.71636363636363631</v>
      </c>
      <c r="AK186" s="134">
        <v>8000</v>
      </c>
      <c r="AS186" s="18">
        <f t="shared" si="444"/>
        <v>8000</v>
      </c>
      <c r="AV186" s="18">
        <f t="shared" si="433"/>
        <v>8000</v>
      </c>
      <c r="AX186" s="18"/>
      <c r="AY186" s="18">
        <f t="shared" si="445"/>
        <v>8000</v>
      </c>
      <c r="BB186" s="18">
        <f t="shared" si="446"/>
        <v>8000</v>
      </c>
      <c r="BD186" s="18">
        <v>4000</v>
      </c>
      <c r="BE186" s="18">
        <f t="shared" si="447"/>
        <v>12000</v>
      </c>
      <c r="BG186" s="18"/>
      <c r="BH186" s="18">
        <f t="shared" si="448"/>
        <v>12000</v>
      </c>
      <c r="BJ186" s="18">
        <v>9655</v>
      </c>
      <c r="BK186" s="279">
        <f t="shared" si="449"/>
        <v>0.80458333333333332</v>
      </c>
      <c r="BM186" s="292">
        <f>12*1350</f>
        <v>16200</v>
      </c>
      <c r="BN186" s="279">
        <f t="shared" si="439"/>
        <v>1.6778871051268773</v>
      </c>
      <c r="BO186" s="279">
        <f t="shared" si="440"/>
        <v>1.35</v>
      </c>
      <c r="BQ186" s="289"/>
      <c r="BR186" s="18">
        <f t="shared" si="450"/>
        <v>16200</v>
      </c>
      <c r="BT186" s="289"/>
      <c r="BU186" s="18">
        <f t="shared" si="451"/>
        <v>16200</v>
      </c>
      <c r="BW186" s="289"/>
      <c r="BX186" s="18">
        <f t="shared" si="452"/>
        <v>16200</v>
      </c>
      <c r="BZ186" s="289"/>
      <c r="CA186" s="18">
        <f t="shared" si="453"/>
        <v>16200</v>
      </c>
      <c r="CC186" s="289"/>
      <c r="CD186" s="18">
        <f t="shared" si="454"/>
        <v>16200</v>
      </c>
      <c r="CF186" s="289"/>
      <c r="CG186" s="18">
        <f t="shared" si="455"/>
        <v>16200</v>
      </c>
      <c r="CI186" s="289"/>
      <c r="CJ186" s="18">
        <f t="shared" si="456"/>
        <v>16200</v>
      </c>
      <c r="CM186" s="18">
        <f t="shared" si="457"/>
        <v>16200</v>
      </c>
      <c r="CO186" s="327"/>
      <c r="CP186" s="18">
        <f t="shared" si="458"/>
        <v>16200</v>
      </c>
      <c r="CR186" s="327"/>
      <c r="CS186" s="18">
        <f t="shared" si="459"/>
        <v>16200</v>
      </c>
      <c r="CU186" s="349">
        <v>-2200</v>
      </c>
      <c r="CV186" s="18">
        <f t="shared" si="460"/>
        <v>14000</v>
      </c>
      <c r="CX186" s="349"/>
      <c r="CY186" s="18">
        <f t="shared" si="461"/>
        <v>14000</v>
      </c>
      <c r="DA186" s="327">
        <v>13983</v>
      </c>
      <c r="DC186" s="327">
        <v>13000</v>
      </c>
    </row>
    <row r="187" spans="1:189" outlineLevel="1">
      <c r="A187" s="14" t="s">
        <v>203</v>
      </c>
      <c r="B187" s="14" t="s">
        <v>195</v>
      </c>
      <c r="C187" s="4" t="s">
        <v>196</v>
      </c>
      <c r="D187" s="52">
        <v>2000</v>
      </c>
      <c r="E187" s="37">
        <v>35.9</v>
      </c>
      <c r="F187" s="52">
        <v>2000</v>
      </c>
      <c r="G187" s="37">
        <v>35.9</v>
      </c>
      <c r="H187" s="56">
        <v>718</v>
      </c>
      <c r="I187" s="40">
        <v>1200</v>
      </c>
      <c r="J187" s="17"/>
      <c r="K187" t="s">
        <v>336</v>
      </c>
      <c r="L187" s="134">
        <v>2000</v>
      </c>
      <c r="M187" s="20">
        <f t="shared" si="405"/>
        <v>0</v>
      </c>
      <c r="N187" s="20">
        <f t="shared" si="406"/>
        <v>0.66666666666666674</v>
      </c>
      <c r="Q187" s="134">
        <v>2000</v>
      </c>
      <c r="R187" s="18">
        <v>0</v>
      </c>
      <c r="S187" s="134">
        <v>1000</v>
      </c>
      <c r="T187" s="18">
        <f t="shared" si="441"/>
        <v>-1000</v>
      </c>
      <c r="U187" s="19">
        <f t="shared" si="427"/>
        <v>-0.5</v>
      </c>
      <c r="Y187" s="134">
        <v>1000</v>
      </c>
      <c r="AA187" s="134">
        <v>1000</v>
      </c>
      <c r="AB187" s="216">
        <f t="shared" si="442"/>
        <v>0</v>
      </c>
      <c r="AC187" s="219">
        <f t="shared" si="443"/>
        <v>0</v>
      </c>
      <c r="AD187" s="219"/>
      <c r="AE187" s="134">
        <v>1000</v>
      </c>
      <c r="AF187" s="213"/>
      <c r="AH187" s="18">
        <v>0</v>
      </c>
      <c r="AI187" s="20">
        <f t="shared" si="428"/>
        <v>0</v>
      </c>
      <c r="AK187" s="134">
        <v>2000</v>
      </c>
      <c r="AS187" s="18">
        <f t="shared" si="444"/>
        <v>2000</v>
      </c>
      <c r="AV187" s="18">
        <f t="shared" si="433"/>
        <v>2000</v>
      </c>
      <c r="AX187" s="18"/>
      <c r="AY187" s="18">
        <f t="shared" si="445"/>
        <v>2000</v>
      </c>
      <c r="BB187" s="18">
        <f t="shared" si="446"/>
        <v>2000</v>
      </c>
      <c r="BD187" s="18">
        <v>8000</v>
      </c>
      <c r="BE187" s="18">
        <f t="shared" si="447"/>
        <v>10000</v>
      </c>
      <c r="BG187" s="18"/>
      <c r="BH187" s="18">
        <f t="shared" si="448"/>
        <v>10000</v>
      </c>
      <c r="BJ187" s="18">
        <v>5878.5</v>
      </c>
      <c r="BK187" s="279">
        <f t="shared" si="449"/>
        <v>0.58784999999999998</v>
      </c>
      <c r="BM187" s="327">
        <v>6000</v>
      </c>
      <c r="BN187" s="279">
        <f t="shared" si="439"/>
        <v>1.0206685378923195</v>
      </c>
      <c r="BO187" s="279">
        <f t="shared" si="440"/>
        <v>0.6</v>
      </c>
      <c r="BQ187" s="289"/>
      <c r="BR187" s="18">
        <f t="shared" si="450"/>
        <v>6000</v>
      </c>
      <c r="BT187" s="289"/>
      <c r="BU187" s="18">
        <f t="shared" si="451"/>
        <v>6000</v>
      </c>
      <c r="BW187" s="289"/>
      <c r="BX187" s="18">
        <f t="shared" si="452"/>
        <v>6000</v>
      </c>
      <c r="BZ187" s="289"/>
      <c r="CA187" s="18">
        <f t="shared" si="453"/>
        <v>6000</v>
      </c>
      <c r="CC187" s="289"/>
      <c r="CD187" s="18">
        <f t="shared" si="454"/>
        <v>6000</v>
      </c>
      <c r="CF187" s="289"/>
      <c r="CG187" s="18">
        <f t="shared" si="455"/>
        <v>6000</v>
      </c>
      <c r="CI187" s="289"/>
      <c r="CJ187" s="18">
        <f t="shared" si="456"/>
        <v>6000</v>
      </c>
      <c r="CM187" s="18">
        <f t="shared" si="457"/>
        <v>6000</v>
      </c>
      <c r="CO187" s="327"/>
      <c r="CP187" s="18">
        <f t="shared" si="458"/>
        <v>6000</v>
      </c>
      <c r="CR187" s="327"/>
      <c r="CS187" s="18">
        <f t="shared" si="459"/>
        <v>6000</v>
      </c>
      <c r="CU187" s="327"/>
      <c r="CV187" s="18">
        <f t="shared" si="460"/>
        <v>6000</v>
      </c>
      <c r="CX187" s="327"/>
      <c r="CY187" s="18">
        <f t="shared" si="461"/>
        <v>6000</v>
      </c>
      <c r="DA187" s="327">
        <v>5262</v>
      </c>
      <c r="DC187" s="327">
        <v>8000</v>
      </c>
    </row>
    <row r="188" spans="1:189" outlineLevel="1">
      <c r="A188" s="14" t="s">
        <v>203</v>
      </c>
      <c r="B188" s="14" t="s">
        <v>197</v>
      </c>
      <c r="C188" s="4" t="s">
        <v>198</v>
      </c>
      <c r="D188" s="52">
        <v>2000</v>
      </c>
      <c r="E188" s="37">
        <v>0</v>
      </c>
      <c r="F188" s="52">
        <v>2000</v>
      </c>
      <c r="G188" s="37">
        <v>0</v>
      </c>
      <c r="H188" s="56">
        <v>0</v>
      </c>
      <c r="I188" s="40">
        <v>0</v>
      </c>
      <c r="J188" s="17"/>
      <c r="K188" t="s">
        <v>336</v>
      </c>
      <c r="L188" s="134">
        <v>2000</v>
      </c>
      <c r="M188" s="20">
        <f t="shared" si="405"/>
        <v>0</v>
      </c>
      <c r="N188" s="20" t="e">
        <f t="shared" si="406"/>
        <v>#DIV/0!</v>
      </c>
      <c r="Q188" s="134">
        <v>2000</v>
      </c>
      <c r="R188" s="18">
        <v>0</v>
      </c>
      <c r="S188" s="134">
        <v>500</v>
      </c>
      <c r="T188" s="18">
        <f t="shared" si="441"/>
        <v>-1500</v>
      </c>
      <c r="U188" s="19">
        <f t="shared" si="427"/>
        <v>-0.75</v>
      </c>
      <c r="Y188" s="134">
        <v>500</v>
      </c>
      <c r="AA188" s="134">
        <v>0</v>
      </c>
      <c r="AB188" s="216">
        <f t="shared" si="442"/>
        <v>-500</v>
      </c>
      <c r="AC188" s="219">
        <f t="shared" si="443"/>
        <v>-500</v>
      </c>
      <c r="AD188" s="219"/>
      <c r="AE188" s="134">
        <v>0</v>
      </c>
      <c r="AF188" s="213"/>
      <c r="AH188" s="18">
        <v>0</v>
      </c>
      <c r="AK188" s="134">
        <v>2000</v>
      </c>
      <c r="AS188" s="18">
        <f t="shared" si="444"/>
        <v>2000</v>
      </c>
      <c r="AV188" s="18">
        <f t="shared" si="433"/>
        <v>2000</v>
      </c>
      <c r="AX188" s="18"/>
      <c r="AY188" s="18">
        <f t="shared" si="445"/>
        <v>2000</v>
      </c>
      <c r="BB188" s="18">
        <f t="shared" si="446"/>
        <v>2000</v>
      </c>
      <c r="BD188" s="18"/>
      <c r="BE188" s="18">
        <f t="shared" si="447"/>
        <v>2000</v>
      </c>
      <c r="BG188" s="18"/>
      <c r="BH188" s="18">
        <f t="shared" si="448"/>
        <v>2000</v>
      </c>
      <c r="BJ188" s="18">
        <v>0</v>
      </c>
      <c r="BK188" s="279">
        <f t="shared" si="449"/>
        <v>0</v>
      </c>
      <c r="BM188" s="327">
        <v>1000</v>
      </c>
      <c r="BN188" s="279" t="e">
        <f t="shared" si="439"/>
        <v>#DIV/0!</v>
      </c>
      <c r="BO188" s="279">
        <f t="shared" si="440"/>
        <v>0.5</v>
      </c>
      <c r="BQ188" s="289"/>
      <c r="BR188" s="18">
        <f t="shared" si="450"/>
        <v>1000</v>
      </c>
      <c r="BT188" s="289"/>
      <c r="BU188" s="18">
        <f t="shared" si="451"/>
        <v>1000</v>
      </c>
      <c r="BW188" s="289"/>
      <c r="BX188" s="18">
        <f t="shared" si="452"/>
        <v>1000</v>
      </c>
      <c r="BZ188" s="289"/>
      <c r="CA188" s="18">
        <f t="shared" si="453"/>
        <v>1000</v>
      </c>
      <c r="CC188" s="289"/>
      <c r="CD188" s="18">
        <f t="shared" si="454"/>
        <v>1000</v>
      </c>
      <c r="CF188" s="289"/>
      <c r="CG188" s="18">
        <f t="shared" si="455"/>
        <v>1000</v>
      </c>
      <c r="CI188" s="289"/>
      <c r="CJ188" s="18">
        <f t="shared" si="456"/>
        <v>1000</v>
      </c>
      <c r="CM188" s="18">
        <f t="shared" si="457"/>
        <v>1000</v>
      </c>
      <c r="CO188" s="327"/>
      <c r="CP188" s="18">
        <f t="shared" si="458"/>
        <v>1000</v>
      </c>
      <c r="CR188" s="327"/>
      <c r="CS188" s="18">
        <f t="shared" si="459"/>
        <v>1000</v>
      </c>
      <c r="CU188" s="349">
        <v>-1000</v>
      </c>
      <c r="CV188" s="18">
        <f t="shared" si="460"/>
        <v>0</v>
      </c>
      <c r="CX188" s="349"/>
      <c r="CY188" s="18">
        <f t="shared" si="461"/>
        <v>0</v>
      </c>
      <c r="DA188" s="327">
        <v>0</v>
      </c>
      <c r="DC188" s="327"/>
    </row>
    <row r="189" spans="1:189" outlineLevel="1">
      <c r="A189" s="14" t="s">
        <v>203</v>
      </c>
      <c r="B189" s="14" t="s">
        <v>117</v>
      </c>
      <c r="C189" s="4" t="s">
        <v>118</v>
      </c>
      <c r="D189" s="52">
        <v>35000</v>
      </c>
      <c r="E189" s="37">
        <v>3</v>
      </c>
      <c r="F189" s="52">
        <v>35000</v>
      </c>
      <c r="G189" s="37">
        <v>3</v>
      </c>
      <c r="H189" s="56">
        <v>1050</v>
      </c>
      <c r="I189" s="40">
        <v>1050</v>
      </c>
      <c r="J189" s="17"/>
      <c r="K189" t="s">
        <v>336</v>
      </c>
      <c r="L189" s="134">
        <v>1500</v>
      </c>
      <c r="M189" s="20">
        <f t="shared" si="405"/>
        <v>-0.95714285714285718</v>
      </c>
      <c r="N189" s="20">
        <f t="shared" si="406"/>
        <v>0.4285714285714286</v>
      </c>
      <c r="Q189" s="134">
        <v>1500</v>
      </c>
      <c r="R189" s="18">
        <v>0</v>
      </c>
      <c r="S189" s="134">
        <v>500</v>
      </c>
      <c r="T189" s="18">
        <f t="shared" si="441"/>
        <v>-1000</v>
      </c>
      <c r="U189" s="19">
        <f t="shared" si="427"/>
        <v>-0.66666666666666674</v>
      </c>
      <c r="Y189" s="134">
        <v>15500</v>
      </c>
      <c r="Z189">
        <v>15500</v>
      </c>
      <c r="AA189" s="134">
        <v>12000</v>
      </c>
      <c r="AB189" s="216">
        <f t="shared" si="442"/>
        <v>-3500</v>
      </c>
      <c r="AC189" s="219">
        <f t="shared" si="443"/>
        <v>-3500</v>
      </c>
      <c r="AD189" s="219"/>
      <c r="AE189" s="134">
        <v>12000</v>
      </c>
      <c r="AF189" s="213"/>
      <c r="AH189" s="18">
        <v>10000</v>
      </c>
      <c r="AI189" s="20">
        <f t="shared" ref="AI189:AI190" si="462">AH189/AE189</f>
        <v>0.83333333333333337</v>
      </c>
      <c r="AK189" s="134">
        <v>1000</v>
      </c>
      <c r="AS189" s="18">
        <f t="shared" si="444"/>
        <v>1000</v>
      </c>
      <c r="AV189" s="18">
        <f t="shared" si="433"/>
        <v>1000</v>
      </c>
      <c r="AX189" s="18"/>
      <c r="AY189" s="18">
        <f t="shared" si="445"/>
        <v>1000</v>
      </c>
      <c r="BB189" s="18">
        <f t="shared" si="446"/>
        <v>1000</v>
      </c>
      <c r="BD189" s="18"/>
      <c r="BE189" s="18">
        <f t="shared" si="447"/>
        <v>1000</v>
      </c>
      <c r="BG189" s="18">
        <v>1100</v>
      </c>
      <c r="BH189" s="18">
        <f t="shared" si="448"/>
        <v>2100</v>
      </c>
      <c r="BJ189" s="18">
        <v>2100</v>
      </c>
      <c r="BK189" s="279">
        <f t="shared" si="449"/>
        <v>1</v>
      </c>
      <c r="BM189" s="327">
        <v>1000</v>
      </c>
      <c r="BN189" s="279">
        <f t="shared" si="439"/>
        <v>0.47619047619047616</v>
      </c>
      <c r="BO189" s="279">
        <f t="shared" si="440"/>
        <v>0.47619047619047616</v>
      </c>
      <c r="BQ189" s="289"/>
      <c r="BR189" s="18">
        <f t="shared" si="450"/>
        <v>1000</v>
      </c>
      <c r="BT189" s="289"/>
      <c r="BU189" s="18">
        <f t="shared" si="451"/>
        <v>1000</v>
      </c>
      <c r="BW189" s="289"/>
      <c r="BX189" s="18">
        <f t="shared" si="452"/>
        <v>1000</v>
      </c>
      <c r="BZ189" s="289"/>
      <c r="CA189" s="18">
        <f t="shared" si="453"/>
        <v>1000</v>
      </c>
      <c r="CC189" s="289"/>
      <c r="CD189" s="18">
        <f t="shared" si="454"/>
        <v>1000</v>
      </c>
      <c r="CF189" s="289"/>
      <c r="CG189" s="18">
        <f t="shared" si="455"/>
        <v>1000</v>
      </c>
      <c r="CI189" s="289"/>
      <c r="CJ189" s="18">
        <f t="shared" si="456"/>
        <v>1000</v>
      </c>
      <c r="CL189" s="327">
        <v>9000</v>
      </c>
      <c r="CM189" s="18">
        <f t="shared" si="457"/>
        <v>10000</v>
      </c>
      <c r="CO189" s="327">
        <v>2500</v>
      </c>
      <c r="CP189" s="18">
        <f t="shared" si="458"/>
        <v>12500</v>
      </c>
      <c r="CR189" s="327"/>
      <c r="CS189" s="18">
        <f t="shared" si="459"/>
        <v>12500</v>
      </c>
      <c r="CU189" s="349">
        <v>-500</v>
      </c>
      <c r="CV189" s="18">
        <f t="shared" si="460"/>
        <v>12000</v>
      </c>
      <c r="CX189" s="349"/>
      <c r="CY189" s="18">
        <f t="shared" si="461"/>
        <v>12000</v>
      </c>
      <c r="DA189" s="327">
        <v>11776</v>
      </c>
      <c r="DC189" s="327">
        <v>10000</v>
      </c>
    </row>
    <row r="190" spans="1:189" outlineLevel="1">
      <c r="A190" s="14" t="s">
        <v>203</v>
      </c>
      <c r="B190" s="14" t="s">
        <v>119</v>
      </c>
      <c r="C190" s="4" t="s">
        <v>120</v>
      </c>
      <c r="D190" s="52">
        <v>160000</v>
      </c>
      <c r="E190" s="37">
        <v>17.87</v>
      </c>
      <c r="F190" s="52">
        <v>40000</v>
      </c>
      <c r="G190" s="37">
        <v>71.5</v>
      </c>
      <c r="H190" s="56">
        <v>28599</v>
      </c>
      <c r="I190" s="40">
        <v>28599</v>
      </c>
      <c r="J190" s="17"/>
      <c r="L190" s="134">
        <v>20000</v>
      </c>
      <c r="M190" s="20">
        <f t="shared" si="405"/>
        <v>-0.5</v>
      </c>
      <c r="N190" s="20">
        <f t="shared" si="406"/>
        <v>-0.30067484877093609</v>
      </c>
      <c r="Q190" s="134">
        <v>20000</v>
      </c>
      <c r="R190" s="18">
        <v>3993</v>
      </c>
      <c r="S190" s="134">
        <v>8000</v>
      </c>
      <c r="T190" s="18">
        <f t="shared" si="441"/>
        <v>-12000</v>
      </c>
      <c r="U190" s="19">
        <f t="shared" si="427"/>
        <v>-0.6</v>
      </c>
      <c r="Y190" s="134">
        <v>8000</v>
      </c>
      <c r="AA190" s="134">
        <v>8500</v>
      </c>
      <c r="AB190" s="216">
        <f t="shared" si="442"/>
        <v>500</v>
      </c>
      <c r="AC190" s="219">
        <f t="shared" si="443"/>
        <v>500</v>
      </c>
      <c r="AD190" s="219"/>
      <c r="AE190" s="134">
        <v>9400</v>
      </c>
      <c r="AF190" s="213">
        <f>AE190-AA190</f>
        <v>900</v>
      </c>
      <c r="AH190" s="18">
        <v>9338</v>
      </c>
      <c r="AI190" s="20">
        <f t="shared" si="462"/>
        <v>0.99340425531914889</v>
      </c>
      <c r="AK190" s="134">
        <v>15000</v>
      </c>
      <c r="AS190" s="18">
        <f t="shared" si="444"/>
        <v>15000</v>
      </c>
      <c r="AV190" s="18">
        <f t="shared" si="433"/>
        <v>15000</v>
      </c>
      <c r="AX190" s="18"/>
      <c r="AY190" s="18">
        <f t="shared" si="445"/>
        <v>15000</v>
      </c>
      <c r="BB190" s="18">
        <f t="shared" si="446"/>
        <v>15000</v>
      </c>
      <c r="BD190" s="18">
        <v>-5000</v>
      </c>
      <c r="BE190" s="18">
        <f t="shared" si="447"/>
        <v>10000</v>
      </c>
      <c r="BG190" s="18">
        <v>-2200</v>
      </c>
      <c r="BH190" s="18">
        <f t="shared" si="448"/>
        <v>7800</v>
      </c>
      <c r="BJ190" s="18">
        <v>5156</v>
      </c>
      <c r="BK190" s="279">
        <f t="shared" si="449"/>
        <v>0.66102564102564099</v>
      </c>
      <c r="BM190" s="327">
        <v>8000</v>
      </c>
      <c r="BN190" s="279">
        <f t="shared" si="439"/>
        <v>1.5515903801396431</v>
      </c>
      <c r="BO190" s="279">
        <f t="shared" si="440"/>
        <v>1.0256410256410255</v>
      </c>
      <c r="BQ190" s="289"/>
      <c r="BR190" s="18">
        <f t="shared" si="450"/>
        <v>8000</v>
      </c>
      <c r="BT190" s="289"/>
      <c r="BU190" s="18">
        <f t="shared" si="451"/>
        <v>8000</v>
      </c>
      <c r="BW190" s="289"/>
      <c r="BX190" s="18">
        <f t="shared" si="452"/>
        <v>8000</v>
      </c>
      <c r="BZ190" s="289"/>
      <c r="CA190" s="18">
        <f t="shared" si="453"/>
        <v>8000</v>
      </c>
      <c r="CC190" s="289"/>
      <c r="CD190" s="18">
        <f t="shared" si="454"/>
        <v>8000</v>
      </c>
      <c r="CF190" s="289"/>
      <c r="CG190" s="18">
        <f t="shared" si="455"/>
        <v>8000</v>
      </c>
      <c r="CH190" s="206">
        <v>6418.36</v>
      </c>
      <c r="CI190" s="349">
        <v>7000</v>
      </c>
      <c r="CJ190" s="18">
        <f t="shared" si="456"/>
        <v>15000</v>
      </c>
      <c r="CM190" s="18">
        <f t="shared" si="457"/>
        <v>15000</v>
      </c>
      <c r="CO190" s="327"/>
      <c r="CP190" s="18">
        <f t="shared" si="458"/>
        <v>15000</v>
      </c>
      <c r="CR190" s="327"/>
      <c r="CS190" s="18">
        <f t="shared" si="459"/>
        <v>15000</v>
      </c>
      <c r="CU190" s="349">
        <v>3000</v>
      </c>
      <c r="CV190" s="18">
        <f t="shared" si="460"/>
        <v>18000</v>
      </c>
      <c r="CX190" s="349"/>
      <c r="CY190" s="18">
        <f t="shared" si="461"/>
        <v>18000</v>
      </c>
      <c r="DA190" s="327">
        <v>17718.36</v>
      </c>
      <c r="DC190" s="327">
        <v>70000</v>
      </c>
    </row>
    <row r="191" spans="1:189" outlineLevel="1">
      <c r="A191" s="14" t="s">
        <v>203</v>
      </c>
      <c r="B191" s="14" t="s">
        <v>208</v>
      </c>
      <c r="C191" s="4" t="s">
        <v>209</v>
      </c>
      <c r="D191" s="52">
        <v>1000</v>
      </c>
      <c r="E191" s="37">
        <v>45.1</v>
      </c>
      <c r="F191" s="52">
        <v>1000</v>
      </c>
      <c r="G191" s="37">
        <v>45.1</v>
      </c>
      <c r="H191" s="56">
        <v>451</v>
      </c>
      <c r="I191" s="40">
        <v>451</v>
      </c>
      <c r="J191" s="17"/>
      <c r="L191" s="134">
        <v>1000</v>
      </c>
      <c r="M191" s="20">
        <f t="shared" si="405"/>
        <v>0</v>
      </c>
      <c r="N191" s="20">
        <f t="shared" si="406"/>
        <v>1.2172949002217295</v>
      </c>
      <c r="Q191" s="134">
        <v>1000</v>
      </c>
      <c r="R191" s="18">
        <v>0</v>
      </c>
      <c r="S191" s="134">
        <v>500</v>
      </c>
      <c r="T191" s="18">
        <f t="shared" si="441"/>
        <v>-500</v>
      </c>
      <c r="U191" s="19">
        <f t="shared" si="427"/>
        <v>-0.5</v>
      </c>
      <c r="Y191" s="134">
        <v>500</v>
      </c>
      <c r="AA191" s="134">
        <v>0</v>
      </c>
      <c r="AB191" s="216">
        <f t="shared" si="442"/>
        <v>-500</v>
      </c>
      <c r="AC191" s="219">
        <f t="shared" si="443"/>
        <v>-500</v>
      </c>
      <c r="AD191" s="219"/>
      <c r="AE191" s="134">
        <v>0</v>
      </c>
      <c r="AF191" s="213"/>
      <c r="AH191" s="18">
        <v>0</v>
      </c>
      <c r="AK191" s="134">
        <v>1000</v>
      </c>
      <c r="AS191" s="18">
        <f t="shared" si="444"/>
        <v>1000</v>
      </c>
      <c r="AV191" s="18">
        <f t="shared" si="433"/>
        <v>1000</v>
      </c>
      <c r="AX191" s="18"/>
      <c r="AY191" s="18">
        <f t="shared" si="445"/>
        <v>1000</v>
      </c>
      <c r="BB191" s="18">
        <f t="shared" si="446"/>
        <v>1000</v>
      </c>
      <c r="BD191" s="18"/>
      <c r="BE191" s="18">
        <f t="shared" si="447"/>
        <v>1000</v>
      </c>
      <c r="BG191" s="18"/>
      <c r="BH191" s="18">
        <f t="shared" si="448"/>
        <v>1000</v>
      </c>
      <c r="BJ191" s="18">
        <v>0</v>
      </c>
      <c r="BK191" s="279">
        <f t="shared" si="449"/>
        <v>0</v>
      </c>
      <c r="BM191" s="327">
        <v>0</v>
      </c>
      <c r="BN191" s="279" t="e">
        <f t="shared" si="439"/>
        <v>#DIV/0!</v>
      </c>
      <c r="BO191" s="279">
        <f t="shared" si="440"/>
        <v>0</v>
      </c>
      <c r="BQ191" s="289"/>
      <c r="BR191" s="18">
        <f t="shared" si="450"/>
        <v>0</v>
      </c>
      <c r="BT191" s="289"/>
      <c r="BU191" s="18">
        <f t="shared" si="451"/>
        <v>0</v>
      </c>
      <c r="BW191" s="289"/>
      <c r="BX191" s="18">
        <f t="shared" si="452"/>
        <v>0</v>
      </c>
      <c r="BZ191" s="289"/>
      <c r="CA191" s="18">
        <f t="shared" si="453"/>
        <v>0</v>
      </c>
      <c r="CC191" s="289"/>
      <c r="CD191" s="18">
        <f t="shared" si="454"/>
        <v>0</v>
      </c>
      <c r="CF191" s="289"/>
      <c r="CG191" s="18">
        <f t="shared" si="455"/>
        <v>0</v>
      </c>
      <c r="CI191" s="289"/>
      <c r="CJ191" s="18">
        <f t="shared" si="456"/>
        <v>0</v>
      </c>
      <c r="CM191" s="18">
        <f t="shared" si="457"/>
        <v>0</v>
      </c>
      <c r="CO191" s="327"/>
      <c r="CP191" s="18">
        <f t="shared" si="458"/>
        <v>0</v>
      </c>
      <c r="CR191" s="327"/>
      <c r="CS191" s="18">
        <f t="shared" si="459"/>
        <v>0</v>
      </c>
      <c r="CU191" s="327"/>
      <c r="CV191" s="18">
        <f t="shared" si="460"/>
        <v>0</v>
      </c>
      <c r="CX191" s="327"/>
      <c r="CY191" s="18">
        <f t="shared" si="461"/>
        <v>0</v>
      </c>
      <c r="DA191" s="327"/>
      <c r="DC191" s="327"/>
    </row>
    <row r="192" spans="1:189" outlineLevel="1">
      <c r="A192" s="184" t="s">
        <v>203</v>
      </c>
      <c r="B192" s="184" t="s">
        <v>150</v>
      </c>
      <c r="C192" s="4" t="s">
        <v>151</v>
      </c>
      <c r="D192" s="52"/>
      <c r="E192" s="37"/>
      <c r="F192" s="52"/>
      <c r="G192" s="37"/>
      <c r="H192" s="56"/>
      <c r="I192" s="40"/>
      <c r="J192" s="17"/>
      <c r="M192" s="20"/>
      <c r="N192" s="20"/>
      <c r="U192" s="19"/>
      <c r="Y192" s="134">
        <v>2500</v>
      </c>
      <c r="Z192">
        <v>2500</v>
      </c>
      <c r="AA192" s="134">
        <v>1600</v>
      </c>
      <c r="AB192" s="216">
        <f t="shared" si="442"/>
        <v>-900</v>
      </c>
      <c r="AC192" s="219">
        <f t="shared" si="443"/>
        <v>-900</v>
      </c>
      <c r="AD192" s="219"/>
      <c r="AE192" s="134">
        <v>1600</v>
      </c>
      <c r="AF192" s="213"/>
      <c r="AH192" s="18">
        <v>1600</v>
      </c>
      <c r="AI192" s="20">
        <f t="shared" ref="AI192" si="463">AH192/AE192</f>
        <v>1</v>
      </c>
      <c r="AK192" s="134">
        <v>0</v>
      </c>
      <c r="AS192" s="18">
        <f t="shared" si="444"/>
        <v>0</v>
      </c>
      <c r="AV192" s="18">
        <f t="shared" si="433"/>
        <v>0</v>
      </c>
      <c r="AX192" s="18"/>
      <c r="AY192" s="18">
        <f t="shared" si="445"/>
        <v>0</v>
      </c>
      <c r="BB192" s="18">
        <f t="shared" si="446"/>
        <v>0</v>
      </c>
      <c r="BD192" s="18"/>
      <c r="BE192" s="18">
        <f t="shared" si="447"/>
        <v>0</v>
      </c>
      <c r="BG192" s="18"/>
      <c r="BH192" s="18">
        <f t="shared" si="448"/>
        <v>0</v>
      </c>
      <c r="BJ192" s="18">
        <v>0</v>
      </c>
      <c r="BK192" s="279" t="e">
        <f t="shared" si="449"/>
        <v>#DIV/0!</v>
      </c>
      <c r="BM192" s="289">
        <v>0</v>
      </c>
      <c r="BN192" s="279" t="e">
        <f t="shared" si="439"/>
        <v>#DIV/0!</v>
      </c>
      <c r="BO192" s="279" t="e">
        <f t="shared" si="440"/>
        <v>#DIV/0!</v>
      </c>
      <c r="BQ192" s="289"/>
      <c r="BR192" s="18">
        <f t="shared" si="450"/>
        <v>0</v>
      </c>
      <c r="BT192" s="289"/>
      <c r="BU192" s="18">
        <f t="shared" si="451"/>
        <v>0</v>
      </c>
      <c r="BW192" s="289"/>
      <c r="BX192" s="18">
        <f t="shared" si="452"/>
        <v>0</v>
      </c>
      <c r="BZ192" s="289"/>
      <c r="CA192" s="18">
        <f t="shared" si="453"/>
        <v>0</v>
      </c>
      <c r="CC192" s="289"/>
      <c r="CD192" s="18">
        <f t="shared" si="454"/>
        <v>0</v>
      </c>
      <c r="CF192" s="289"/>
      <c r="CG192" s="18">
        <f t="shared" si="455"/>
        <v>0</v>
      </c>
      <c r="CI192" s="289"/>
      <c r="CJ192" s="18">
        <f t="shared" si="456"/>
        <v>0</v>
      </c>
      <c r="CM192" s="18">
        <f t="shared" si="457"/>
        <v>0</v>
      </c>
      <c r="CO192" s="327"/>
      <c r="CP192" s="18">
        <f t="shared" si="458"/>
        <v>0</v>
      </c>
      <c r="CR192" s="327"/>
      <c r="CS192" s="18">
        <f t="shared" si="459"/>
        <v>0</v>
      </c>
      <c r="CU192" s="327"/>
      <c r="CV192" s="18">
        <f t="shared" si="460"/>
        <v>0</v>
      </c>
      <c r="CX192" s="327"/>
      <c r="CY192" s="18">
        <f t="shared" si="461"/>
        <v>0</v>
      </c>
      <c r="DA192" s="327"/>
      <c r="DC192" s="327"/>
    </row>
    <row r="193" spans="1:107" outlineLevel="1">
      <c r="A193" s="14" t="s">
        <v>203</v>
      </c>
      <c r="B193" s="14" t="s">
        <v>152</v>
      </c>
      <c r="C193" s="4" t="s">
        <v>153</v>
      </c>
      <c r="D193" s="52">
        <v>500</v>
      </c>
      <c r="E193" s="37">
        <v>0</v>
      </c>
      <c r="F193" s="52">
        <v>500</v>
      </c>
      <c r="G193" s="37">
        <v>0</v>
      </c>
      <c r="H193" s="56">
        <v>0</v>
      </c>
      <c r="I193" s="40">
        <v>0</v>
      </c>
      <c r="J193" s="17"/>
      <c r="L193" s="134">
        <v>0</v>
      </c>
      <c r="M193" s="20">
        <f t="shared" si="405"/>
        <v>-1</v>
      </c>
      <c r="N193" s="20" t="e">
        <f t="shared" si="406"/>
        <v>#DIV/0!</v>
      </c>
      <c r="U193" s="19"/>
      <c r="Y193" s="134"/>
      <c r="AB193" s="216">
        <f t="shared" si="442"/>
        <v>0</v>
      </c>
      <c r="AC193" s="219">
        <f t="shared" si="443"/>
        <v>0</v>
      </c>
      <c r="AD193" s="219"/>
      <c r="AF193" s="213"/>
      <c r="AH193" s="18"/>
      <c r="AX193" s="18"/>
      <c r="BD193" s="18"/>
      <c r="BG193" s="18"/>
      <c r="BM193" s="289">
        <v>0</v>
      </c>
      <c r="BN193" s="279" t="e">
        <f t="shared" si="439"/>
        <v>#DIV/0!</v>
      </c>
      <c r="BO193" s="279" t="e">
        <f t="shared" si="440"/>
        <v>#DIV/0!</v>
      </c>
      <c r="BQ193" s="289"/>
      <c r="BR193" s="18">
        <f t="shared" si="450"/>
        <v>0</v>
      </c>
      <c r="BT193" s="289"/>
      <c r="BU193" s="18">
        <f t="shared" si="451"/>
        <v>0</v>
      </c>
      <c r="BW193" s="289"/>
      <c r="BX193" s="18">
        <f t="shared" si="452"/>
        <v>0</v>
      </c>
      <c r="BZ193" s="289"/>
      <c r="CA193" s="18">
        <f t="shared" si="453"/>
        <v>0</v>
      </c>
      <c r="CC193" s="289"/>
      <c r="CD193" s="18">
        <f t="shared" si="454"/>
        <v>0</v>
      </c>
      <c r="CF193" s="289"/>
      <c r="CG193" s="18">
        <f t="shared" si="455"/>
        <v>0</v>
      </c>
      <c r="CI193" s="289"/>
      <c r="CJ193" s="18">
        <f t="shared" si="456"/>
        <v>0</v>
      </c>
      <c r="CM193" s="18">
        <f t="shared" si="457"/>
        <v>0</v>
      </c>
      <c r="CP193" s="18">
        <f t="shared" si="458"/>
        <v>0</v>
      </c>
      <c r="CR193" s="327"/>
      <c r="CS193" s="18">
        <f t="shared" si="459"/>
        <v>0</v>
      </c>
      <c r="CU193" s="327"/>
      <c r="CV193" s="18">
        <f t="shared" si="460"/>
        <v>0</v>
      </c>
      <c r="CX193" s="327"/>
      <c r="CY193" s="18">
        <f t="shared" si="461"/>
        <v>0</v>
      </c>
      <c r="DA193" s="327"/>
      <c r="DC193" s="327"/>
    </row>
    <row r="194" spans="1:107" outlineLevel="1">
      <c r="A194" s="14" t="s">
        <v>203</v>
      </c>
      <c r="B194" s="14" t="s">
        <v>109</v>
      </c>
      <c r="C194" s="4" t="s">
        <v>110</v>
      </c>
      <c r="D194" s="52">
        <v>10000</v>
      </c>
      <c r="E194" s="37">
        <v>100</v>
      </c>
      <c r="F194" s="52">
        <v>10000</v>
      </c>
      <c r="G194" s="37">
        <v>100</v>
      </c>
      <c r="H194" s="56">
        <v>10000</v>
      </c>
      <c r="I194" s="40">
        <f>H194</f>
        <v>10000</v>
      </c>
      <c r="J194" s="17"/>
      <c r="L194" s="134">
        <v>10000</v>
      </c>
      <c r="M194" s="20">
        <f t="shared" si="405"/>
        <v>0</v>
      </c>
      <c r="N194" s="20">
        <f t="shared" si="406"/>
        <v>0</v>
      </c>
      <c r="Q194" s="134">
        <v>10000</v>
      </c>
      <c r="R194" s="18">
        <v>10000</v>
      </c>
      <c r="S194" s="134">
        <v>10000</v>
      </c>
      <c r="T194" s="18">
        <f t="shared" si="441"/>
        <v>0</v>
      </c>
      <c r="U194" s="19">
        <f t="shared" si="427"/>
        <v>0</v>
      </c>
      <c r="Y194" s="134">
        <v>10000</v>
      </c>
      <c r="AA194" s="134">
        <v>10000</v>
      </c>
      <c r="AB194" s="216">
        <f t="shared" si="442"/>
        <v>0</v>
      </c>
      <c r="AC194" s="219">
        <f>AA194-Y194</f>
        <v>0</v>
      </c>
      <c r="AD194" s="219"/>
      <c r="AE194" s="134">
        <v>10000</v>
      </c>
      <c r="AF194" s="213"/>
      <c r="AH194" s="18">
        <v>10000</v>
      </c>
      <c r="AI194" s="20">
        <f t="shared" ref="AI194:AI195" si="464">AH194/AE194</f>
        <v>1</v>
      </c>
      <c r="AK194" s="134">
        <v>10000</v>
      </c>
      <c r="AS194" s="18">
        <f t="shared" ref="AS194:AS197" si="465">AR194+AK194</f>
        <v>10000</v>
      </c>
      <c r="AV194" s="18">
        <f t="shared" ref="AV194:AV197" si="466">AS194+AU194</f>
        <v>10000</v>
      </c>
      <c r="AX194" s="18"/>
      <c r="AY194" s="18">
        <f t="shared" ref="AY194:AY197" si="467">AV194+AX194</f>
        <v>10000</v>
      </c>
      <c r="BB194" s="18">
        <f t="shared" ref="BB194:BB197" si="468">AY194+BA194</f>
        <v>10000</v>
      </c>
      <c r="BD194" s="18">
        <v>-10000</v>
      </c>
      <c r="BE194" s="18">
        <f t="shared" ref="BE194:BE197" si="469">BB194+BD194</f>
        <v>0</v>
      </c>
      <c r="BG194" s="18"/>
      <c r="BH194" s="18">
        <f t="shared" ref="BH194:BH197" si="470">BE194+BG194</f>
        <v>0</v>
      </c>
      <c r="BJ194" s="18">
        <v>0</v>
      </c>
      <c r="BM194" s="289">
        <v>10000</v>
      </c>
      <c r="BN194" s="279" t="e">
        <f t="shared" si="439"/>
        <v>#DIV/0!</v>
      </c>
      <c r="BO194" s="279" t="e">
        <f t="shared" si="440"/>
        <v>#DIV/0!</v>
      </c>
      <c r="BQ194" s="289"/>
      <c r="BR194" s="18">
        <f t="shared" si="450"/>
        <v>10000</v>
      </c>
      <c r="BT194" s="289"/>
      <c r="BU194" s="18">
        <f t="shared" si="451"/>
        <v>10000</v>
      </c>
      <c r="BW194" s="289"/>
      <c r="BX194" s="18">
        <f t="shared" si="452"/>
        <v>10000</v>
      </c>
      <c r="BZ194" s="289"/>
      <c r="CA194" s="18">
        <f t="shared" si="453"/>
        <v>10000</v>
      </c>
      <c r="CC194" s="289"/>
      <c r="CD194" s="18">
        <f t="shared" si="454"/>
        <v>10000</v>
      </c>
      <c r="CF194" s="289"/>
      <c r="CG194" s="18">
        <f t="shared" si="455"/>
        <v>10000</v>
      </c>
      <c r="CI194" s="289"/>
      <c r="CJ194" s="18">
        <f t="shared" si="456"/>
        <v>10000</v>
      </c>
      <c r="CM194" s="18">
        <f t="shared" si="457"/>
        <v>10000</v>
      </c>
      <c r="CP194" s="18">
        <f t="shared" si="458"/>
        <v>10000</v>
      </c>
      <c r="CR194" s="327"/>
      <c r="CS194" s="18">
        <f t="shared" si="459"/>
        <v>10000</v>
      </c>
      <c r="CU194" s="327"/>
      <c r="CV194" s="18">
        <f t="shared" si="460"/>
        <v>10000</v>
      </c>
      <c r="CX194" s="327"/>
      <c r="CY194" s="18">
        <f t="shared" si="461"/>
        <v>10000</v>
      </c>
      <c r="DA194" s="327">
        <v>10000</v>
      </c>
      <c r="DC194" s="327">
        <v>20000</v>
      </c>
    </row>
    <row r="195" spans="1:107" outlineLevel="1">
      <c r="A195" s="199" t="s">
        <v>203</v>
      </c>
      <c r="B195" s="199" t="s">
        <v>253</v>
      </c>
      <c r="C195" s="4" t="s">
        <v>425</v>
      </c>
      <c r="D195" s="52"/>
      <c r="E195" s="37"/>
      <c r="F195" s="52"/>
      <c r="G195" s="37"/>
      <c r="H195" s="56"/>
      <c r="I195" s="40"/>
      <c r="J195" s="17"/>
      <c r="M195" s="20"/>
      <c r="N195" s="20"/>
      <c r="U195" s="19"/>
      <c r="Y195" s="134"/>
      <c r="AA195" s="134">
        <v>1300</v>
      </c>
      <c r="AB195" s="216">
        <f t="shared" si="442"/>
        <v>1300</v>
      </c>
      <c r="AC195" s="219">
        <f>AA195-Y195</f>
        <v>1300</v>
      </c>
      <c r="AD195" s="219"/>
      <c r="AE195" s="134">
        <v>1300</v>
      </c>
      <c r="AF195" s="213"/>
      <c r="AH195" s="18">
        <v>1300</v>
      </c>
      <c r="AI195" s="20">
        <f t="shared" si="464"/>
        <v>1</v>
      </c>
      <c r="AK195" s="134">
        <v>0</v>
      </c>
      <c r="AS195" s="18">
        <f t="shared" si="465"/>
        <v>0</v>
      </c>
      <c r="AV195" s="18">
        <f t="shared" si="466"/>
        <v>0</v>
      </c>
      <c r="AX195" s="18"/>
      <c r="AY195" s="18">
        <f t="shared" si="467"/>
        <v>0</v>
      </c>
      <c r="BB195" s="18">
        <f t="shared" si="468"/>
        <v>0</v>
      </c>
      <c r="BD195" s="18"/>
      <c r="BE195" s="18">
        <f t="shared" si="469"/>
        <v>0</v>
      </c>
      <c r="BG195" s="18"/>
      <c r="BH195" s="18">
        <f t="shared" si="470"/>
        <v>0</v>
      </c>
      <c r="BJ195" s="18">
        <v>0</v>
      </c>
      <c r="BM195" s="289">
        <v>0</v>
      </c>
      <c r="BN195" s="279" t="e">
        <f t="shared" si="439"/>
        <v>#DIV/0!</v>
      </c>
      <c r="BO195" s="279" t="e">
        <f t="shared" si="440"/>
        <v>#DIV/0!</v>
      </c>
      <c r="BQ195" s="289"/>
      <c r="BR195" s="18">
        <f t="shared" si="450"/>
        <v>0</v>
      </c>
      <c r="BT195" s="289"/>
      <c r="BU195" s="18">
        <f t="shared" si="451"/>
        <v>0</v>
      </c>
      <c r="BW195" s="289"/>
      <c r="BX195" s="18">
        <f t="shared" si="452"/>
        <v>0</v>
      </c>
      <c r="BZ195" s="289"/>
      <c r="CA195" s="18">
        <f t="shared" si="453"/>
        <v>0</v>
      </c>
      <c r="CC195" s="289"/>
      <c r="CD195" s="18">
        <f t="shared" si="454"/>
        <v>0</v>
      </c>
      <c r="CF195" s="289"/>
      <c r="CG195" s="18">
        <f t="shared" si="455"/>
        <v>0</v>
      </c>
      <c r="CI195" s="289"/>
      <c r="CJ195" s="18">
        <f t="shared" si="456"/>
        <v>0</v>
      </c>
      <c r="CM195" s="18">
        <f t="shared" si="457"/>
        <v>0</v>
      </c>
      <c r="CP195" s="18">
        <f t="shared" si="458"/>
        <v>0</v>
      </c>
      <c r="CR195" s="327"/>
      <c r="CS195" s="18">
        <f t="shared" si="459"/>
        <v>0</v>
      </c>
      <c r="CU195" s="327"/>
      <c r="CV195" s="18">
        <f t="shared" si="460"/>
        <v>0</v>
      </c>
      <c r="CX195" s="327"/>
      <c r="CY195" s="18">
        <f t="shared" si="461"/>
        <v>0</v>
      </c>
      <c r="DA195" s="327"/>
      <c r="DC195" s="327"/>
    </row>
    <row r="196" spans="1:107" outlineLevel="1">
      <c r="A196" s="14" t="s">
        <v>203</v>
      </c>
      <c r="B196" s="14" t="s">
        <v>210</v>
      </c>
      <c r="C196" s="4" t="s">
        <v>211</v>
      </c>
      <c r="D196" s="52">
        <v>0</v>
      </c>
      <c r="E196" s="37">
        <v>0</v>
      </c>
      <c r="F196" s="52">
        <v>270400</v>
      </c>
      <c r="G196" s="37">
        <v>100</v>
      </c>
      <c r="H196" s="56">
        <v>270398.71000000002</v>
      </c>
      <c r="I196" s="40">
        <f>H196</f>
        <v>270398.71000000002</v>
      </c>
      <c r="J196" s="17"/>
      <c r="L196" s="134">
        <f>'[1]2020'!$Q$20</f>
        <v>10000</v>
      </c>
      <c r="M196" s="20">
        <f t="shared" si="405"/>
        <v>-0.96301775147928992</v>
      </c>
      <c r="N196" s="20">
        <f t="shared" si="406"/>
        <v>-0.96301757504686325</v>
      </c>
      <c r="Q196" s="134">
        <v>10000</v>
      </c>
      <c r="R196" s="18">
        <v>0</v>
      </c>
      <c r="S196" s="134">
        <v>0</v>
      </c>
      <c r="T196" s="18">
        <f t="shared" si="441"/>
        <v>-10000</v>
      </c>
      <c r="U196" s="19">
        <f t="shared" si="427"/>
        <v>-1</v>
      </c>
      <c r="Y196" s="134">
        <v>0</v>
      </c>
      <c r="AA196" s="134">
        <v>0</v>
      </c>
      <c r="AB196" s="216">
        <f t="shared" si="442"/>
        <v>0</v>
      </c>
      <c r="AC196" s="219">
        <f>AA196-Y196</f>
        <v>0</v>
      </c>
      <c r="AD196" s="219"/>
      <c r="AE196" s="134">
        <v>0</v>
      </c>
      <c r="AF196" s="213"/>
      <c r="AH196" s="18">
        <v>0</v>
      </c>
      <c r="AK196" s="134">
        <v>0</v>
      </c>
      <c r="AS196" s="18">
        <f t="shared" si="465"/>
        <v>0</v>
      </c>
      <c r="AV196" s="18">
        <f t="shared" si="466"/>
        <v>0</v>
      </c>
      <c r="AX196" s="18"/>
      <c r="AY196" s="18">
        <f t="shared" si="467"/>
        <v>0</v>
      </c>
      <c r="BB196" s="18">
        <f t="shared" si="468"/>
        <v>0</v>
      </c>
      <c r="BD196" s="18"/>
      <c r="BE196" s="18">
        <f t="shared" si="469"/>
        <v>0</v>
      </c>
      <c r="BG196" s="18"/>
      <c r="BH196" s="18">
        <f t="shared" si="470"/>
        <v>0</v>
      </c>
      <c r="BJ196" s="18">
        <v>0</v>
      </c>
      <c r="BM196" s="289">
        <v>0</v>
      </c>
      <c r="BN196" s="279" t="e">
        <f t="shared" si="439"/>
        <v>#DIV/0!</v>
      </c>
      <c r="BO196" s="279" t="e">
        <f t="shared" si="440"/>
        <v>#DIV/0!</v>
      </c>
      <c r="BQ196" s="289"/>
      <c r="BR196" s="18">
        <f t="shared" si="450"/>
        <v>0</v>
      </c>
      <c r="BT196" s="289"/>
      <c r="BU196" s="18">
        <f t="shared" si="451"/>
        <v>0</v>
      </c>
      <c r="BW196" s="289"/>
      <c r="BX196" s="18">
        <f t="shared" si="452"/>
        <v>0</v>
      </c>
      <c r="BZ196" s="289"/>
      <c r="CA196" s="18">
        <f t="shared" si="453"/>
        <v>0</v>
      </c>
      <c r="CC196" s="289"/>
      <c r="CD196" s="18">
        <f t="shared" si="454"/>
        <v>0</v>
      </c>
      <c r="CF196" s="289"/>
      <c r="CG196" s="18">
        <f t="shared" si="455"/>
        <v>0</v>
      </c>
      <c r="CI196" s="289"/>
      <c r="CJ196" s="18">
        <f t="shared" si="456"/>
        <v>0</v>
      </c>
      <c r="CM196" s="18">
        <f t="shared" si="457"/>
        <v>0</v>
      </c>
      <c r="CP196" s="18">
        <f t="shared" si="458"/>
        <v>0</v>
      </c>
      <c r="CS196" s="18">
        <f t="shared" si="459"/>
        <v>0</v>
      </c>
      <c r="CV196" s="18">
        <f t="shared" si="460"/>
        <v>0</v>
      </c>
      <c r="CY196" s="18">
        <f t="shared" si="461"/>
        <v>0</v>
      </c>
    </row>
    <row r="197" spans="1:107" outlineLevel="1">
      <c r="A197" s="14" t="s">
        <v>203</v>
      </c>
      <c r="B197" s="14" t="s">
        <v>212</v>
      </c>
      <c r="C197" s="4" t="s">
        <v>213</v>
      </c>
      <c r="D197" s="52">
        <v>900000</v>
      </c>
      <c r="E197" s="37">
        <v>0</v>
      </c>
      <c r="F197" s="52">
        <v>0</v>
      </c>
      <c r="G197" s="37">
        <v>0</v>
      </c>
      <c r="H197" s="56">
        <v>0</v>
      </c>
      <c r="I197" s="40">
        <f>H197</f>
        <v>0</v>
      </c>
      <c r="J197" s="17"/>
      <c r="L197" s="134">
        <v>650000</v>
      </c>
      <c r="M197" s="20" t="e">
        <f t="shared" si="405"/>
        <v>#DIV/0!</v>
      </c>
      <c r="N197" s="20" t="e">
        <f t="shared" si="406"/>
        <v>#DIV/0!</v>
      </c>
      <c r="Q197" s="134">
        <v>1006000</v>
      </c>
      <c r="R197" s="18">
        <v>0</v>
      </c>
      <c r="S197" s="134">
        <v>906000</v>
      </c>
      <c r="T197" s="18">
        <f t="shared" si="441"/>
        <v>-100000</v>
      </c>
      <c r="U197" s="19">
        <f t="shared" si="427"/>
        <v>-9.9403578528827086E-2</v>
      </c>
      <c r="Y197" s="134">
        <v>906000</v>
      </c>
      <c r="AA197" s="134">
        <v>905010</v>
      </c>
      <c r="AB197" s="216">
        <f t="shared" si="442"/>
        <v>-990</v>
      </c>
      <c r="AC197" s="219">
        <f>AA197-Y197</f>
        <v>-990</v>
      </c>
      <c r="AD197" s="219"/>
      <c r="AE197" s="134">
        <v>905010</v>
      </c>
      <c r="AF197" s="213"/>
      <c r="AH197" s="18">
        <v>905007.4</v>
      </c>
      <c r="AI197" s="20">
        <f t="shared" ref="AI197" si="471">AH197/AE197</f>
        <v>0.99999712710356792</v>
      </c>
      <c r="AK197" s="134">
        <v>0</v>
      </c>
      <c r="AS197" s="18">
        <f t="shared" si="465"/>
        <v>0</v>
      </c>
      <c r="AV197" s="18">
        <f t="shared" si="466"/>
        <v>0</v>
      </c>
      <c r="AX197" s="18"/>
      <c r="AY197" s="18">
        <f t="shared" si="467"/>
        <v>0</v>
      </c>
      <c r="BB197" s="18">
        <f t="shared" si="468"/>
        <v>0</v>
      </c>
      <c r="BD197" s="18"/>
      <c r="BE197" s="18">
        <f t="shared" si="469"/>
        <v>0</v>
      </c>
      <c r="BG197" s="18"/>
      <c r="BH197" s="18">
        <f t="shared" si="470"/>
        <v>0</v>
      </c>
      <c r="BJ197" s="18">
        <v>0</v>
      </c>
      <c r="BM197" s="289">
        <v>0</v>
      </c>
      <c r="BN197" s="279" t="e">
        <f t="shared" si="439"/>
        <v>#DIV/0!</v>
      </c>
      <c r="BO197" s="279" t="e">
        <f t="shared" si="440"/>
        <v>#DIV/0!</v>
      </c>
      <c r="BQ197" s="289"/>
      <c r="BR197" s="18">
        <f t="shared" si="450"/>
        <v>0</v>
      </c>
      <c r="BT197" s="289"/>
      <c r="BU197" s="18">
        <f t="shared" si="451"/>
        <v>0</v>
      </c>
      <c r="BW197" s="289"/>
      <c r="BX197" s="18">
        <f t="shared" si="452"/>
        <v>0</v>
      </c>
      <c r="BZ197" s="289"/>
      <c r="CA197" s="18">
        <f t="shared" si="453"/>
        <v>0</v>
      </c>
      <c r="CC197" s="289"/>
      <c r="CD197" s="18">
        <f t="shared" si="454"/>
        <v>0</v>
      </c>
      <c r="CF197" s="289"/>
      <c r="CG197" s="18">
        <f t="shared" si="455"/>
        <v>0</v>
      </c>
      <c r="CI197" s="289"/>
      <c r="CJ197" s="18">
        <f t="shared" si="456"/>
        <v>0</v>
      </c>
      <c r="CM197" s="18">
        <f t="shared" si="457"/>
        <v>0</v>
      </c>
      <c r="CP197" s="18">
        <f t="shared" si="458"/>
        <v>0</v>
      </c>
      <c r="CS197" s="18">
        <f t="shared" si="459"/>
        <v>0</v>
      </c>
      <c r="CV197" s="18">
        <f t="shared" si="460"/>
        <v>0</v>
      </c>
      <c r="CY197" s="18">
        <f t="shared" si="461"/>
        <v>0</v>
      </c>
    </row>
    <row r="198" spans="1:107" outlineLevel="1">
      <c r="A198" s="14" t="s">
        <v>203</v>
      </c>
      <c r="B198" s="4" t="s">
        <v>46</v>
      </c>
      <c r="C198" s="4" t="s">
        <v>214</v>
      </c>
      <c r="D198" s="52">
        <v>1197000</v>
      </c>
      <c r="E198" s="37">
        <v>30.6</v>
      </c>
      <c r="F198" s="52">
        <v>462000</v>
      </c>
      <c r="G198" s="37">
        <v>79.290000000000006</v>
      </c>
      <c r="H198" s="56">
        <v>366300.21</v>
      </c>
      <c r="I198" s="40"/>
      <c r="J198" s="17"/>
      <c r="Y198" s="134"/>
      <c r="AF198" s="213"/>
      <c r="AH198" s="18"/>
      <c r="AX198" s="18"/>
      <c r="BD198" s="18"/>
      <c r="BG198" s="18"/>
    </row>
    <row r="199" spans="1:107" outlineLevel="1">
      <c r="A199" s="14" t="s">
        <v>215</v>
      </c>
      <c r="B199" s="4" t="s">
        <v>48</v>
      </c>
      <c r="C199" s="4" t="s">
        <v>216</v>
      </c>
      <c r="D199" s="52">
        <v>1197000</v>
      </c>
      <c r="E199" s="37">
        <v>30.6</v>
      </c>
      <c r="F199" s="52">
        <v>462000</v>
      </c>
      <c r="G199" s="37">
        <v>79.290000000000006</v>
      </c>
      <c r="H199" s="56">
        <v>366300.21</v>
      </c>
      <c r="I199" s="40"/>
      <c r="J199" s="17"/>
      <c r="Y199" s="134"/>
      <c r="AF199" s="213"/>
      <c r="AH199" s="18"/>
      <c r="AX199" s="18"/>
      <c r="BD199" s="18"/>
      <c r="BG199" s="18"/>
    </row>
    <row r="200" spans="1:107" ht="15.75" thickBot="1">
      <c r="A200" s="70" t="s">
        <v>203</v>
      </c>
      <c r="B200" s="71" t="s">
        <v>320</v>
      </c>
      <c r="C200" s="338" t="s">
        <v>214</v>
      </c>
      <c r="D200" s="73">
        <f>SUM(D179:D194)</f>
        <v>297000</v>
      </c>
      <c r="E200" s="74"/>
      <c r="F200" s="73">
        <f>SUM(F179:F194)</f>
        <v>191600</v>
      </c>
      <c r="G200" s="74"/>
      <c r="H200" s="73"/>
      <c r="I200" s="73">
        <f>SUM(I179:I194)</f>
        <v>102486.5</v>
      </c>
      <c r="J200" s="156" t="e">
        <f>I200/$I$304</f>
        <v>#REF!</v>
      </c>
      <c r="K200" s="76"/>
      <c r="L200" s="138">
        <f>SUM(L179:L194)</f>
        <v>99500</v>
      </c>
      <c r="M200" s="77">
        <f t="shared" ref="M200:M205" si="472">L200/F200-1</f>
        <v>-0.4806889352818372</v>
      </c>
      <c r="N200" s="77">
        <f t="shared" ref="N200:N205" si="473">L200/I200-1</f>
        <v>-2.9140423372834512E-2</v>
      </c>
      <c r="O200" s="20">
        <f>L200/$L$304</f>
        <v>2.3085847296257025E-2</v>
      </c>
      <c r="P200" s="20"/>
      <c r="Q200" s="138">
        <f>SUM(Q179:Q194)</f>
        <v>110000</v>
      </c>
      <c r="R200" s="138">
        <f>SUM(R179:R194)</f>
        <v>41341</v>
      </c>
      <c r="S200" s="138">
        <f>SUM(S179:S194)</f>
        <v>87200</v>
      </c>
      <c r="T200" s="138">
        <f>SUM(T179:T194)</f>
        <v>-22800</v>
      </c>
      <c r="U200" s="175">
        <f t="shared" ref="U200:U205" si="474">S200/Q200-1</f>
        <v>-0.20727272727272728</v>
      </c>
      <c r="Y200" s="138">
        <f>SUM(Y179:Y194)</f>
        <v>99000</v>
      </c>
      <c r="AA200" s="138">
        <f>SUM(AA179:AA195)</f>
        <v>83050</v>
      </c>
      <c r="AB200" s="138">
        <f>SUM(AB179:AB195)</f>
        <v>-15950</v>
      </c>
      <c r="AE200" s="138">
        <f>SUM(AE179:AE195)</f>
        <v>84050</v>
      </c>
      <c r="AF200" s="213"/>
      <c r="AH200" s="138">
        <f>SUM(AH179:AH195)</f>
        <v>77440.709999999992</v>
      </c>
      <c r="AI200" s="20">
        <f t="shared" ref="AI200:AI205" si="475">AH200/AE200</f>
        <v>0.9213647828673408</v>
      </c>
      <c r="AK200" s="138">
        <f>SUM(AK179:AK195)</f>
        <v>62300</v>
      </c>
      <c r="AL200" s="229">
        <f t="shared" ref="AL200:AL202" si="476">AK200/L200</f>
        <v>0.62613065326633166</v>
      </c>
      <c r="AM200" s="20">
        <f t="shared" ref="AM200:AM202" si="477">AK200/AE200</f>
        <v>0.74122546103509812</v>
      </c>
      <c r="AN200" s="20">
        <f t="shared" ref="AN200:AN202" si="478">AK200/AH200</f>
        <v>0.80448642580885432</v>
      </c>
      <c r="AS200" s="138">
        <f>SUM(AS179:AS195)</f>
        <v>62300</v>
      </c>
      <c r="AU200" s="138">
        <f>SUM(AU179:AU195)</f>
        <v>0</v>
      </c>
      <c r="AV200" s="138">
        <f>SUM(AV179:AV195)</f>
        <v>62300</v>
      </c>
      <c r="AX200" s="138">
        <f>SUM(AX179:AX195)</f>
        <v>0</v>
      </c>
      <c r="AY200" s="138">
        <f>SUM(AY179:AY195)</f>
        <v>62300</v>
      </c>
      <c r="BA200" s="138">
        <f>SUM(BA179:BA195)</f>
        <v>0</v>
      </c>
      <c r="BB200" s="138">
        <f>SUM(BB179:BB195)</f>
        <v>62300</v>
      </c>
      <c r="BD200" s="138">
        <f>SUM(BD179:BD195)</f>
        <v>0</v>
      </c>
      <c r="BE200" s="138">
        <f>SUM(BE179:BE195)</f>
        <v>62300</v>
      </c>
      <c r="BG200" s="138">
        <f>SUM(BG179:BG195)</f>
        <v>-1100</v>
      </c>
      <c r="BH200" s="138">
        <f>SUM(BH179:BH195)</f>
        <v>61200</v>
      </c>
      <c r="BJ200" s="138">
        <f>SUM(BJ179:BJ195)</f>
        <v>41369.660000000003</v>
      </c>
      <c r="BK200" s="280">
        <f t="shared" ref="BK200" si="479">BJ200/BH200</f>
        <v>0.67597483660130719</v>
      </c>
      <c r="BM200" s="138">
        <f>SUM(BM179:BM195)</f>
        <v>95100</v>
      </c>
      <c r="BN200" s="280">
        <f t="shared" ref="BN200:BN202" si="480">BM200/BJ200</f>
        <v>2.2987861152351745</v>
      </c>
      <c r="BO200" s="280">
        <f t="shared" ref="BO200:BO202" si="481">BM200/BH200</f>
        <v>1.553921568627451</v>
      </c>
      <c r="BQ200" s="138">
        <f>SUM(BQ179:BQ195)</f>
        <v>-1000</v>
      </c>
      <c r="BR200" s="138">
        <f>SUM(BR179:BR195)</f>
        <v>94100</v>
      </c>
      <c r="BT200" s="138">
        <f>SUM(BT179:BT195)</f>
        <v>0</v>
      </c>
      <c r="BU200" s="138">
        <f>SUM(BU179:BU195)</f>
        <v>94100</v>
      </c>
      <c r="BW200" s="138">
        <f>SUM(BW179:BW195)</f>
        <v>12000</v>
      </c>
      <c r="BX200" s="138">
        <f>SUM(BX179:BX195)</f>
        <v>106100</v>
      </c>
      <c r="BZ200" s="138">
        <f>SUM(BZ179:BZ195)</f>
        <v>0</v>
      </c>
      <c r="CA200" s="138">
        <f>SUM(CA179:CA195)</f>
        <v>106100</v>
      </c>
      <c r="CC200" s="138">
        <f>SUM(CC179:CC195)</f>
        <v>0</v>
      </c>
      <c r="CD200" s="138">
        <f>SUM(CD179:CD195)</f>
        <v>106100</v>
      </c>
      <c r="CF200" s="138">
        <f>SUM(CF179:CF195)</f>
        <v>0</v>
      </c>
      <c r="CG200" s="138">
        <f>SUM(CG179:CG195)</f>
        <v>106100</v>
      </c>
      <c r="CI200" s="138">
        <f>SUM(CI179:CI195)</f>
        <v>7000</v>
      </c>
      <c r="CJ200" s="138">
        <f>SUM(CJ179:CJ195)</f>
        <v>113100</v>
      </c>
      <c r="CL200" s="391">
        <f>SUM(CL179:CL195)</f>
        <v>9000</v>
      </c>
      <c r="CM200" s="138">
        <f>SUM(CM179:CM195)</f>
        <v>122100</v>
      </c>
      <c r="CO200" s="138">
        <f>SUM(CO179:CO195)</f>
        <v>5000</v>
      </c>
      <c r="CP200" s="138">
        <f>SUM(CP179:CP195)</f>
        <v>127100</v>
      </c>
      <c r="CR200" s="138">
        <f>SUM(CR179:CR195)</f>
        <v>0</v>
      </c>
      <c r="CS200" s="138">
        <f>SUM(CS179:CS195)</f>
        <v>127100</v>
      </c>
      <c r="CU200" s="138">
        <f>SUM(CU179:CU195)</f>
        <v>-14200</v>
      </c>
      <c r="CV200" s="138">
        <f>SUM(CV179:CV195)</f>
        <v>112900</v>
      </c>
      <c r="CX200" s="138">
        <f>SUM(CX179:CX195)</f>
        <v>0</v>
      </c>
      <c r="CY200" s="138">
        <f>SUM(CY179:CY195)</f>
        <v>112900</v>
      </c>
      <c r="DA200" s="138">
        <f>SUM(DA179:DA195)</f>
        <v>110502.91</v>
      </c>
      <c r="DC200" s="138">
        <f>SUM(DC179:DC195)</f>
        <v>195500</v>
      </c>
    </row>
    <row r="201" spans="1:107" ht="16.5" thickTop="1" thickBot="1">
      <c r="A201" s="80" t="s">
        <v>203</v>
      </c>
      <c r="B201" s="81" t="s">
        <v>362</v>
      </c>
      <c r="C201" s="339" t="s">
        <v>349</v>
      </c>
      <c r="D201" s="82">
        <f>D190</f>
        <v>160000</v>
      </c>
      <c r="E201" s="83"/>
      <c r="F201" s="82">
        <f>F190</f>
        <v>40000</v>
      </c>
      <c r="G201" s="83"/>
      <c r="H201" s="82"/>
      <c r="I201" s="82">
        <f>I190</f>
        <v>28599</v>
      </c>
      <c r="J201" s="84"/>
      <c r="K201" s="85"/>
      <c r="L201" s="139">
        <f>L190</f>
        <v>20000</v>
      </c>
      <c r="M201" s="86">
        <f t="shared" si="472"/>
        <v>-0.5</v>
      </c>
      <c r="N201" s="86">
        <f t="shared" si="473"/>
        <v>-0.30067484877093609</v>
      </c>
      <c r="Q201" s="139">
        <f>Q190</f>
        <v>20000</v>
      </c>
      <c r="R201" s="139">
        <f>R190</f>
        <v>3993</v>
      </c>
      <c r="S201" s="139">
        <f>S190</f>
        <v>8000</v>
      </c>
      <c r="T201" s="139">
        <f>T190</f>
        <v>-12000</v>
      </c>
      <c r="U201" s="175">
        <f t="shared" si="474"/>
        <v>-0.6</v>
      </c>
      <c r="Y201" s="139">
        <f>Y190</f>
        <v>8000</v>
      </c>
      <c r="AA201" s="139">
        <f>AA190</f>
        <v>8500</v>
      </c>
      <c r="AB201" s="139">
        <f>AB190</f>
        <v>500</v>
      </c>
      <c r="AE201" s="139">
        <f>AE190</f>
        <v>9400</v>
      </c>
      <c r="AF201" s="213"/>
      <c r="AH201" s="139">
        <f>AH190</f>
        <v>9338</v>
      </c>
      <c r="AI201" s="20">
        <f t="shared" si="475"/>
        <v>0.99340425531914889</v>
      </c>
      <c r="AK201" s="139">
        <f>AK190</f>
        <v>15000</v>
      </c>
      <c r="AL201" s="229">
        <f t="shared" si="476"/>
        <v>0.75</v>
      </c>
      <c r="AM201" s="20">
        <f t="shared" si="477"/>
        <v>1.5957446808510638</v>
      </c>
      <c r="AN201" s="20">
        <f t="shared" si="478"/>
        <v>1.6063396872992075</v>
      </c>
      <c r="AS201" s="139">
        <f>AS190</f>
        <v>15000</v>
      </c>
      <c r="AU201" s="139">
        <f>AU190</f>
        <v>0</v>
      </c>
      <c r="AV201" s="139">
        <f>AV190</f>
        <v>15000</v>
      </c>
      <c r="AX201" s="139">
        <f>AX190</f>
        <v>0</v>
      </c>
      <c r="AY201" s="139">
        <f>AY190</f>
        <v>15000</v>
      </c>
      <c r="BA201" s="139">
        <f>BA190</f>
        <v>0</v>
      </c>
      <c r="BB201" s="139">
        <f>BB190</f>
        <v>15000</v>
      </c>
      <c r="BD201" s="139">
        <f>BD190</f>
        <v>-5000</v>
      </c>
      <c r="BE201" s="139">
        <f>BE190</f>
        <v>10000</v>
      </c>
      <c r="BG201" s="139">
        <f>BG190</f>
        <v>-2200</v>
      </c>
      <c r="BH201" s="139">
        <f>BH190</f>
        <v>7800</v>
      </c>
      <c r="BJ201" s="139">
        <f>BJ190</f>
        <v>5156</v>
      </c>
      <c r="BK201" s="280">
        <f t="shared" ref="BK201:BK202" si="482">BJ201/BH201</f>
        <v>0.66102564102564099</v>
      </c>
      <c r="BM201" s="139">
        <f>BM190</f>
        <v>8000</v>
      </c>
      <c r="BN201" s="280">
        <f t="shared" si="480"/>
        <v>1.5515903801396431</v>
      </c>
      <c r="BO201" s="280">
        <f t="shared" si="481"/>
        <v>1.0256410256410255</v>
      </c>
      <c r="BQ201" s="139">
        <f>BQ190</f>
        <v>0</v>
      </c>
      <c r="BR201" s="139">
        <f>BR190</f>
        <v>8000</v>
      </c>
      <c r="BT201" s="139">
        <f>BT190</f>
        <v>0</v>
      </c>
      <c r="BU201" s="139">
        <f>BU190</f>
        <v>8000</v>
      </c>
      <c r="BW201" s="139">
        <f>BW190</f>
        <v>0</v>
      </c>
      <c r="BX201" s="139">
        <f>BX190</f>
        <v>8000</v>
      </c>
      <c r="BZ201" s="139">
        <f>BZ190</f>
        <v>0</v>
      </c>
      <c r="CA201" s="139">
        <f>CA190</f>
        <v>8000</v>
      </c>
      <c r="CC201" s="139">
        <f>CC190</f>
        <v>0</v>
      </c>
      <c r="CD201" s="139">
        <f>CD190</f>
        <v>8000</v>
      </c>
      <c r="CF201" s="139">
        <f>CF190</f>
        <v>0</v>
      </c>
      <c r="CG201" s="139">
        <f>CG190</f>
        <v>8000</v>
      </c>
      <c r="CI201" s="139">
        <f>CI190</f>
        <v>7000</v>
      </c>
      <c r="CJ201" s="139">
        <f>CJ190</f>
        <v>15000</v>
      </c>
      <c r="CL201" s="391">
        <f>CL190</f>
        <v>0</v>
      </c>
      <c r="CM201" s="139">
        <f>CM190</f>
        <v>15000</v>
      </c>
      <c r="CO201" s="139">
        <f>CO190</f>
        <v>0</v>
      </c>
      <c r="CP201" s="139">
        <f>CP190</f>
        <v>15000</v>
      </c>
      <c r="CR201" s="139">
        <f>CR190</f>
        <v>0</v>
      </c>
      <c r="CS201" s="139">
        <f>CS190</f>
        <v>15000</v>
      </c>
      <c r="CU201" s="139">
        <f>CU190</f>
        <v>3000</v>
      </c>
      <c r="CV201" s="139">
        <f>CV190</f>
        <v>18000</v>
      </c>
      <c r="CX201" s="139">
        <f>CX190</f>
        <v>0</v>
      </c>
      <c r="CY201" s="139">
        <f>CY190</f>
        <v>18000</v>
      </c>
      <c r="DA201" s="139">
        <f>DA190</f>
        <v>17718.36</v>
      </c>
      <c r="DC201" s="139">
        <f>DC190</f>
        <v>70000</v>
      </c>
    </row>
    <row r="202" spans="1:107" ht="16.5" thickTop="1" thickBot="1">
      <c r="A202" s="91" t="s">
        <v>203</v>
      </c>
      <c r="B202" s="92" t="s">
        <v>281</v>
      </c>
      <c r="C202" s="340" t="s">
        <v>350</v>
      </c>
      <c r="D202" s="94">
        <f>D196+D197</f>
        <v>900000</v>
      </c>
      <c r="E202" s="95"/>
      <c r="F202" s="94">
        <f>F196+F197</f>
        <v>270400</v>
      </c>
      <c r="G202" s="95"/>
      <c r="H202" s="94"/>
      <c r="I202" s="94">
        <f>I196+I197</f>
        <v>270398.71000000002</v>
      </c>
      <c r="J202" s="96"/>
      <c r="K202" s="93"/>
      <c r="L202" s="140">
        <f>L196+L197</f>
        <v>660000</v>
      </c>
      <c r="M202" s="97">
        <f t="shared" si="472"/>
        <v>1.440828402366864</v>
      </c>
      <c r="N202" s="97">
        <f t="shared" si="473"/>
        <v>1.4408400469070282</v>
      </c>
      <c r="Q202" s="140">
        <f>Q196+Q197</f>
        <v>1016000</v>
      </c>
      <c r="R202" s="140">
        <f>R196+R197</f>
        <v>0</v>
      </c>
      <c r="S202" s="140">
        <f>S196+S197</f>
        <v>906000</v>
      </c>
      <c r="T202" s="140">
        <f>T196+T197</f>
        <v>-110000</v>
      </c>
      <c r="U202" s="176">
        <f t="shared" si="474"/>
        <v>-0.1082677165354331</v>
      </c>
      <c r="Y202" s="140">
        <f>Y196+Y197</f>
        <v>906000</v>
      </c>
      <c r="AA202" s="140">
        <f>AA196+AA197</f>
        <v>905010</v>
      </c>
      <c r="AB202" s="140">
        <f>AB196+AB197</f>
        <v>-990</v>
      </c>
      <c r="AE202" s="140">
        <f>AE196+AE197</f>
        <v>905010</v>
      </c>
      <c r="AF202" s="213"/>
      <c r="AH202" s="140">
        <f>AH196+AH197</f>
        <v>905007.4</v>
      </c>
      <c r="AI202" s="20">
        <f t="shared" si="475"/>
        <v>0.99999712710356792</v>
      </c>
      <c r="AK202" s="140">
        <f>AK196+AK197</f>
        <v>0</v>
      </c>
      <c r="AL202" s="229">
        <f t="shared" si="476"/>
        <v>0</v>
      </c>
      <c r="AM202" s="20">
        <f t="shared" si="477"/>
        <v>0</v>
      </c>
      <c r="AN202" s="20">
        <f t="shared" si="478"/>
        <v>0</v>
      </c>
      <c r="AS202" s="140">
        <f>AS196+AS197</f>
        <v>0</v>
      </c>
      <c r="AU202" s="140">
        <f>AU196+AU197</f>
        <v>0</v>
      </c>
      <c r="AV202" s="140">
        <f>AV196+AV197</f>
        <v>0</v>
      </c>
      <c r="AX202" s="140">
        <f>AX196+AX197</f>
        <v>0</v>
      </c>
      <c r="AY202" s="140">
        <f>AY196+AY197</f>
        <v>0</v>
      </c>
      <c r="BA202" s="140">
        <f>BA196+BA197</f>
        <v>0</v>
      </c>
      <c r="BB202" s="140">
        <f>BB196+BB197</f>
        <v>0</v>
      </c>
      <c r="BD202" s="140">
        <f>BD196+BD197</f>
        <v>0</v>
      </c>
      <c r="BE202" s="140">
        <f>BE196+BE197</f>
        <v>0</v>
      </c>
      <c r="BG202" s="140">
        <f>BG196+BG197</f>
        <v>0</v>
      </c>
      <c r="BH202" s="140">
        <f>BH196+BH197</f>
        <v>0</v>
      </c>
      <c r="BJ202" s="140">
        <f>BJ196+BJ197</f>
        <v>0</v>
      </c>
      <c r="BK202" s="281" t="e">
        <f t="shared" si="482"/>
        <v>#DIV/0!</v>
      </c>
      <c r="BM202" s="140">
        <f>BM196+BM197</f>
        <v>0</v>
      </c>
      <c r="BN202" s="281" t="e">
        <f t="shared" si="480"/>
        <v>#DIV/0!</v>
      </c>
      <c r="BO202" s="281" t="e">
        <f t="shared" si="481"/>
        <v>#DIV/0!</v>
      </c>
      <c r="BQ202" s="140">
        <f>BQ196+BQ197</f>
        <v>0</v>
      </c>
      <c r="BR202" s="140">
        <f>BR196+BR197</f>
        <v>0</v>
      </c>
      <c r="BT202" s="140">
        <f>BT196+BT197</f>
        <v>0</v>
      </c>
      <c r="BU202" s="140">
        <f>BU196+BU197</f>
        <v>0</v>
      </c>
      <c r="BW202" s="140">
        <f>BW196+BW197</f>
        <v>0</v>
      </c>
      <c r="BX202" s="140">
        <f>BX196+BX197</f>
        <v>0</v>
      </c>
      <c r="BZ202" s="140">
        <f>BZ196+BZ197</f>
        <v>0</v>
      </c>
      <c r="CA202" s="140">
        <f>CA196+CA197</f>
        <v>0</v>
      </c>
      <c r="CC202" s="140">
        <f>CC196+CC197</f>
        <v>0</v>
      </c>
      <c r="CD202" s="140">
        <f>CD196+CD197</f>
        <v>0</v>
      </c>
      <c r="CF202" s="140">
        <f>CF196+CF197</f>
        <v>0</v>
      </c>
      <c r="CG202" s="140">
        <f>CG196+CG197</f>
        <v>0</v>
      </c>
      <c r="CI202" s="140">
        <f>CI196+CI197</f>
        <v>0</v>
      </c>
      <c r="CJ202" s="140">
        <f>CJ196+CJ197</f>
        <v>0</v>
      </c>
      <c r="CL202" s="391">
        <f>CL196+CL197</f>
        <v>0</v>
      </c>
      <c r="CM202" s="140">
        <f>CM196+CM197</f>
        <v>0</v>
      </c>
      <c r="CO202" s="140">
        <f>CO196+CO197</f>
        <v>0</v>
      </c>
      <c r="CP202" s="140">
        <f>CP196+CP197</f>
        <v>0</v>
      </c>
      <c r="CR202" s="140">
        <f>CR196+CR197</f>
        <v>0</v>
      </c>
      <c r="CS202" s="140">
        <f>CS196+CS197</f>
        <v>0</v>
      </c>
      <c r="CU202" s="140">
        <f>CU196+CU197</f>
        <v>0</v>
      </c>
      <c r="CV202" s="140">
        <f>CV196+CV197</f>
        <v>0</v>
      </c>
      <c r="CX202" s="140">
        <f>CX196+CX197</f>
        <v>0</v>
      </c>
      <c r="CY202" s="140">
        <f>CY196+CY197</f>
        <v>0</v>
      </c>
      <c r="DA202" s="140">
        <f>DA196+DA197</f>
        <v>0</v>
      </c>
      <c r="DC202" s="140">
        <f>DC196+DC197</f>
        <v>0</v>
      </c>
    </row>
    <row r="203" spans="1:107" ht="15.75" outlineLevel="1" thickTop="1">
      <c r="A203" s="14" t="s">
        <v>217</v>
      </c>
      <c r="B203" s="14" t="s">
        <v>218</v>
      </c>
      <c r="C203" s="4" t="s">
        <v>219</v>
      </c>
      <c r="D203" s="52">
        <v>722000</v>
      </c>
      <c r="E203" s="37">
        <v>112.02</v>
      </c>
      <c r="F203" s="52">
        <v>1080000</v>
      </c>
      <c r="G203" s="37">
        <v>74.89</v>
      </c>
      <c r="H203" s="56">
        <v>808768</v>
      </c>
      <c r="I203" s="40">
        <f>H203+2*'[2]2020'!$C$15</f>
        <v>927768</v>
      </c>
      <c r="J203" s="17"/>
      <c r="K203" t="s">
        <v>336</v>
      </c>
      <c r="L203" s="134">
        <f>12*'[2]2020'!$D$15+20</f>
        <v>764000.00000000012</v>
      </c>
      <c r="M203" s="20">
        <f t="shared" si="472"/>
        <v>-0.29259259259259252</v>
      </c>
      <c r="N203" s="20">
        <f t="shared" si="473"/>
        <v>-0.17651826749790889</v>
      </c>
      <c r="Q203" s="134">
        <v>764000</v>
      </c>
      <c r="R203" s="18">
        <v>378930</v>
      </c>
      <c r="S203" s="134">
        <v>764000</v>
      </c>
      <c r="T203" s="18">
        <f>S203-Q203</f>
        <v>0</v>
      </c>
      <c r="U203" s="19">
        <f t="shared" si="474"/>
        <v>0</v>
      </c>
      <c r="Y203" s="134">
        <v>764000</v>
      </c>
      <c r="AA203" s="134">
        <v>764000</v>
      </c>
      <c r="AB203" s="216">
        <f t="shared" ref="AB203:AB205" si="483">AA203-Y203</f>
        <v>0</v>
      </c>
      <c r="AC203" s="219">
        <f t="shared" ref="AC203:AC205" si="484">AA203-Y203</f>
        <v>0</v>
      </c>
      <c r="AD203" s="219"/>
      <c r="AE203" s="134">
        <v>764000</v>
      </c>
      <c r="AF203" s="213"/>
      <c r="AH203" s="18">
        <v>762246</v>
      </c>
      <c r="AI203" s="20">
        <f t="shared" si="475"/>
        <v>0.99770418848167541</v>
      </c>
      <c r="AK203" s="134">
        <v>764000</v>
      </c>
      <c r="AS203" s="18">
        <f t="shared" ref="AS203:AS205" si="485">AR203+AK203</f>
        <v>764000</v>
      </c>
      <c r="AV203" s="18">
        <f t="shared" ref="AV203:AV205" si="486">AS203+AU203</f>
        <v>764000</v>
      </c>
      <c r="AX203" s="18"/>
      <c r="AY203" s="18">
        <f t="shared" ref="AY203:AY205" si="487">AV203+AX203</f>
        <v>764000</v>
      </c>
      <c r="BB203" s="18">
        <f t="shared" ref="BB203:BB205" si="488">AY203+BA203</f>
        <v>764000</v>
      </c>
      <c r="BD203" s="18">
        <v>1000</v>
      </c>
      <c r="BE203" s="18">
        <f t="shared" ref="BE203:BE205" si="489">BB203+BD203</f>
        <v>765000</v>
      </c>
      <c r="BG203" s="18">
        <v>2000</v>
      </c>
      <c r="BH203" s="18">
        <f t="shared" ref="BH203:BH205" si="490">BE203+BG203</f>
        <v>767000</v>
      </c>
      <c r="BJ203" s="18">
        <v>766632</v>
      </c>
      <c r="BK203" s="279">
        <f t="shared" ref="BK203:BK205" si="491">BJ203/BH203</f>
        <v>0.99952020860495439</v>
      </c>
      <c r="BM203" s="289">
        <v>767000</v>
      </c>
      <c r="BN203" s="279">
        <f t="shared" ref="BN203:BN207" si="492">BM203/BJ203</f>
        <v>1.0004800217053293</v>
      </c>
      <c r="BO203" s="279">
        <f t="shared" ref="BO203:BO207" si="493">BM203/BH203</f>
        <v>1</v>
      </c>
      <c r="BQ203" s="289"/>
      <c r="BR203" s="18">
        <f t="shared" ref="BR203:BR205" si="494">BM203+BQ203</f>
        <v>767000</v>
      </c>
      <c r="BT203" s="289"/>
      <c r="BU203" s="18">
        <f>BR203+BT203</f>
        <v>767000</v>
      </c>
      <c r="BW203" s="289"/>
      <c r="BX203" s="18">
        <f>BU203+BW203</f>
        <v>767000</v>
      </c>
      <c r="BZ203" s="289"/>
      <c r="CA203" s="18">
        <f>BX203+BZ203</f>
        <v>767000</v>
      </c>
      <c r="CC203" s="289"/>
      <c r="CD203" s="18">
        <f>CA203+CC203</f>
        <v>767000</v>
      </c>
      <c r="CF203" s="289"/>
      <c r="CG203" s="18">
        <f>CD203+CF203</f>
        <v>767000</v>
      </c>
      <c r="CI203" s="289"/>
      <c r="CJ203" s="18">
        <f>CG203+CI203</f>
        <v>767000</v>
      </c>
      <c r="CM203" s="18">
        <f>CJ203+CL203</f>
        <v>767000</v>
      </c>
      <c r="CP203" s="18">
        <f>CM203+CO203</f>
        <v>767000</v>
      </c>
      <c r="CS203" s="18">
        <f>CP203+CR203</f>
        <v>767000</v>
      </c>
      <c r="CU203" s="349">
        <v>20000</v>
      </c>
      <c r="CV203" s="18">
        <f>CS203+CU203</f>
        <v>787000</v>
      </c>
      <c r="CX203" s="349"/>
      <c r="CY203" s="18">
        <f>CV203+CX203</f>
        <v>787000</v>
      </c>
      <c r="DA203" s="289">
        <v>786269</v>
      </c>
      <c r="DC203" s="289">
        <v>815000</v>
      </c>
    </row>
    <row r="204" spans="1:107" outlineLevel="1">
      <c r="A204" s="14" t="s">
        <v>217</v>
      </c>
      <c r="B204" s="14" t="s">
        <v>187</v>
      </c>
      <c r="C204" s="4" t="s">
        <v>188</v>
      </c>
      <c r="D204" s="52">
        <v>133000</v>
      </c>
      <c r="E204" s="37">
        <v>89.88</v>
      </c>
      <c r="F204" s="52">
        <v>133000</v>
      </c>
      <c r="G204" s="37">
        <v>89.88</v>
      </c>
      <c r="H204" s="56">
        <v>119545</v>
      </c>
      <c r="I204" s="40">
        <v>140000</v>
      </c>
      <c r="J204" s="17"/>
      <c r="K204" t="s">
        <v>336</v>
      </c>
      <c r="L204" s="134">
        <v>133000</v>
      </c>
      <c r="M204" s="20">
        <f t="shared" si="472"/>
        <v>0</v>
      </c>
      <c r="N204" s="20">
        <f t="shared" si="473"/>
        <v>-5.0000000000000044E-2</v>
      </c>
      <c r="Q204" s="134">
        <v>133000</v>
      </c>
      <c r="R204" s="18">
        <v>70702</v>
      </c>
      <c r="S204" s="134">
        <v>140000</v>
      </c>
      <c r="T204" s="18">
        <f>S204-Q204</f>
        <v>7000</v>
      </c>
      <c r="U204" s="19">
        <f t="shared" si="474"/>
        <v>5.2631578947368363E-2</v>
      </c>
      <c r="Y204" s="134">
        <v>140000</v>
      </c>
      <c r="AA204" s="134">
        <v>142400</v>
      </c>
      <c r="AB204" s="216">
        <f t="shared" si="483"/>
        <v>2400</v>
      </c>
      <c r="AC204" s="219">
        <f t="shared" si="484"/>
        <v>2400</v>
      </c>
      <c r="AD204" s="219"/>
      <c r="AE204" s="134">
        <v>142500</v>
      </c>
      <c r="AF204" s="213">
        <f>AE204-AA204</f>
        <v>100</v>
      </c>
      <c r="AH204" s="18">
        <v>142492</v>
      </c>
      <c r="AI204" s="20">
        <f t="shared" si="475"/>
        <v>0.9999438596491228</v>
      </c>
      <c r="AK204" s="134">
        <v>144000</v>
      </c>
      <c r="AS204" s="18">
        <f t="shared" si="485"/>
        <v>144000</v>
      </c>
      <c r="AV204" s="18">
        <f t="shared" si="486"/>
        <v>144000</v>
      </c>
      <c r="AX204" s="18"/>
      <c r="AY204" s="18">
        <f t="shared" si="487"/>
        <v>144000</v>
      </c>
      <c r="BB204" s="18">
        <f t="shared" si="488"/>
        <v>144000</v>
      </c>
      <c r="BD204" s="18"/>
      <c r="BE204" s="18">
        <f t="shared" si="489"/>
        <v>144000</v>
      </c>
      <c r="BG204" s="18"/>
      <c r="BH204" s="18">
        <f t="shared" si="490"/>
        <v>144000</v>
      </c>
      <c r="BJ204" s="18">
        <v>143580</v>
      </c>
      <c r="BK204" s="279">
        <f t="shared" si="491"/>
        <v>0.99708333333333332</v>
      </c>
      <c r="BM204" s="289">
        <v>144000</v>
      </c>
      <c r="BN204" s="279">
        <f t="shared" si="492"/>
        <v>1.0029251984956122</v>
      </c>
      <c r="BO204" s="279">
        <f t="shared" si="493"/>
        <v>1</v>
      </c>
      <c r="BQ204" s="289"/>
      <c r="BR204" s="18">
        <f t="shared" si="494"/>
        <v>144000</v>
      </c>
      <c r="BT204" s="289"/>
      <c r="BU204" s="18">
        <f>BR204+BT204</f>
        <v>144000</v>
      </c>
      <c r="BW204" s="289"/>
      <c r="BX204" s="18">
        <f>BU204+BW204</f>
        <v>144000</v>
      </c>
      <c r="BZ204" s="289"/>
      <c r="CA204" s="18">
        <f>BX204+BZ204</f>
        <v>144000</v>
      </c>
      <c r="CC204" s="289"/>
      <c r="CD204" s="18">
        <f>CA204+CC204</f>
        <v>144000</v>
      </c>
      <c r="CF204" s="289"/>
      <c r="CG204" s="18">
        <f>CD204+CF204</f>
        <v>144000</v>
      </c>
      <c r="CI204" s="289"/>
      <c r="CJ204" s="18">
        <f>CG204+CI204</f>
        <v>144000</v>
      </c>
      <c r="CM204" s="18">
        <f>CJ204+CL204</f>
        <v>144000</v>
      </c>
      <c r="CP204" s="18">
        <f>CM204+CO204</f>
        <v>144000</v>
      </c>
      <c r="CS204" s="18">
        <f>CP204+CR204</f>
        <v>144000</v>
      </c>
      <c r="CU204" s="349">
        <v>5000</v>
      </c>
      <c r="CV204" s="18">
        <f>CS204+CU204</f>
        <v>149000</v>
      </c>
      <c r="CX204" s="349"/>
      <c r="CY204" s="18">
        <f>CV204+CX204</f>
        <v>149000</v>
      </c>
      <c r="DA204" s="289">
        <v>148764</v>
      </c>
      <c r="DC204" s="289">
        <v>155000</v>
      </c>
    </row>
    <row r="205" spans="1:107" outlineLevel="1">
      <c r="A205" s="14" t="s">
        <v>217</v>
      </c>
      <c r="B205" s="14" t="s">
        <v>189</v>
      </c>
      <c r="C205" s="4" t="s">
        <v>190</v>
      </c>
      <c r="D205" s="52">
        <v>65000</v>
      </c>
      <c r="E205" s="37">
        <v>89.1</v>
      </c>
      <c r="F205" s="52">
        <v>65000</v>
      </c>
      <c r="G205" s="37">
        <v>89.1</v>
      </c>
      <c r="H205" s="56">
        <v>57917</v>
      </c>
      <c r="I205" s="40">
        <f>H205*I2</f>
        <v>69500.399999999994</v>
      </c>
      <c r="J205" s="17"/>
      <c r="K205" t="s">
        <v>336</v>
      </c>
      <c r="L205" s="134">
        <v>65000</v>
      </c>
      <c r="M205" s="20">
        <f t="shared" si="472"/>
        <v>0</v>
      </c>
      <c r="N205" s="20">
        <f t="shared" si="473"/>
        <v>-6.4753584152033583E-2</v>
      </c>
      <c r="Q205" s="134">
        <v>65000</v>
      </c>
      <c r="R205" s="18">
        <v>34099</v>
      </c>
      <c r="S205" s="134">
        <v>69000</v>
      </c>
      <c r="T205" s="18">
        <f>S205-Q205</f>
        <v>4000</v>
      </c>
      <c r="U205" s="19">
        <f t="shared" si="474"/>
        <v>6.1538461538461542E-2</v>
      </c>
      <c r="Y205" s="134">
        <v>69000</v>
      </c>
      <c r="AA205" s="134">
        <v>69000</v>
      </c>
      <c r="AB205" s="216">
        <f t="shared" si="483"/>
        <v>0</v>
      </c>
      <c r="AC205" s="219">
        <f t="shared" si="484"/>
        <v>0</v>
      </c>
      <c r="AD205" s="219"/>
      <c r="AE205" s="134">
        <v>69000</v>
      </c>
      <c r="AF205" s="213"/>
      <c r="AH205" s="18">
        <v>68593</v>
      </c>
      <c r="AI205" s="20">
        <f t="shared" si="475"/>
        <v>0.99410144927536237</v>
      </c>
      <c r="AK205" s="134">
        <v>69000</v>
      </c>
      <c r="AS205" s="18">
        <f t="shared" si="485"/>
        <v>69000</v>
      </c>
      <c r="AV205" s="18">
        <f t="shared" si="486"/>
        <v>69000</v>
      </c>
      <c r="AX205" s="18"/>
      <c r="AY205" s="18">
        <f t="shared" si="487"/>
        <v>69000</v>
      </c>
      <c r="BB205" s="18">
        <f t="shared" si="488"/>
        <v>69000</v>
      </c>
      <c r="BD205" s="18"/>
      <c r="BE205" s="18">
        <f t="shared" si="489"/>
        <v>69000</v>
      </c>
      <c r="BG205" s="18"/>
      <c r="BH205" s="18">
        <f t="shared" si="490"/>
        <v>69000</v>
      </c>
      <c r="BJ205" s="18">
        <v>68988</v>
      </c>
      <c r="BK205" s="279">
        <f t="shared" si="491"/>
        <v>0.99982608695652175</v>
      </c>
      <c r="BM205" s="289">
        <v>69000</v>
      </c>
      <c r="BN205" s="279">
        <f t="shared" si="492"/>
        <v>1.0001739432944861</v>
      </c>
      <c r="BO205" s="279">
        <f t="shared" si="493"/>
        <v>1</v>
      </c>
      <c r="BQ205" s="289"/>
      <c r="BR205" s="18">
        <f t="shared" si="494"/>
        <v>69000</v>
      </c>
      <c r="BT205" s="289"/>
      <c r="BU205" s="18">
        <f>BR205+BT205</f>
        <v>69000</v>
      </c>
      <c r="BW205" s="289"/>
      <c r="BX205" s="18">
        <f>BU205+BW205</f>
        <v>69000</v>
      </c>
      <c r="BZ205" s="289"/>
      <c r="CA205" s="18">
        <f>BX205+BZ205</f>
        <v>69000</v>
      </c>
      <c r="CC205" s="289"/>
      <c r="CD205" s="18">
        <f>CA205+CC205</f>
        <v>69000</v>
      </c>
      <c r="CF205" s="289"/>
      <c r="CG205" s="18">
        <f>CD205+CF205</f>
        <v>69000</v>
      </c>
      <c r="CI205" s="289"/>
      <c r="CJ205" s="18">
        <f>CG205+CI205</f>
        <v>69000</v>
      </c>
      <c r="CM205" s="18">
        <f>CJ205+CL205</f>
        <v>69000</v>
      </c>
      <c r="CP205" s="18">
        <f>CM205+CO205</f>
        <v>69000</v>
      </c>
      <c r="CS205" s="18">
        <f>CP205+CR205</f>
        <v>69000</v>
      </c>
      <c r="CU205" s="349">
        <v>2000</v>
      </c>
      <c r="CV205" s="18">
        <f>CS205+CU205</f>
        <v>71000</v>
      </c>
      <c r="CX205" s="349"/>
      <c r="CY205" s="18">
        <f>CV205+CX205</f>
        <v>71000</v>
      </c>
      <c r="DA205" s="289">
        <v>70752</v>
      </c>
      <c r="DC205" s="289">
        <v>75000</v>
      </c>
    </row>
    <row r="206" spans="1:107" ht="15" customHeight="1" outlineLevel="1">
      <c r="A206" s="14" t="s">
        <v>217</v>
      </c>
      <c r="B206" s="4" t="s">
        <v>46</v>
      </c>
      <c r="C206" s="4" t="s">
        <v>220</v>
      </c>
      <c r="D206" s="52">
        <v>920000</v>
      </c>
      <c r="E206" s="37">
        <v>107.2</v>
      </c>
      <c r="F206" s="52">
        <v>1278000</v>
      </c>
      <c r="G206" s="37">
        <v>77.17</v>
      </c>
      <c r="H206" s="56">
        <v>986230</v>
      </c>
      <c r="I206" s="40"/>
      <c r="J206" s="17"/>
      <c r="Y206" s="134"/>
      <c r="AF206" s="213"/>
      <c r="AH206" s="18"/>
      <c r="AX206" s="18"/>
      <c r="BD206" s="18"/>
      <c r="BG206" s="18"/>
      <c r="BN206" s="279" t="e">
        <f t="shared" si="492"/>
        <v>#DIV/0!</v>
      </c>
      <c r="BO206" s="279" t="e">
        <f t="shared" si="493"/>
        <v>#DIV/0!</v>
      </c>
    </row>
    <row r="207" spans="1:107" ht="15.75" thickBot="1">
      <c r="A207" s="70" t="s">
        <v>217</v>
      </c>
      <c r="B207" s="71" t="s">
        <v>320</v>
      </c>
      <c r="C207" s="338" t="s">
        <v>352</v>
      </c>
      <c r="D207" s="73">
        <f>SUM(D203:D205)</f>
        <v>920000</v>
      </c>
      <c r="E207" s="74"/>
      <c r="F207" s="73">
        <f>SUM(F203:F205)</f>
        <v>1278000</v>
      </c>
      <c r="G207" s="74"/>
      <c r="H207" s="73"/>
      <c r="I207" s="73">
        <f>SUM(I203:I205)</f>
        <v>1137268.3999999999</v>
      </c>
      <c r="J207" s="156" t="e">
        <f>I207/$I$304</f>
        <v>#REF!</v>
      </c>
      <c r="K207" s="76"/>
      <c r="L207" s="138">
        <f>SUM(L203:L205)</f>
        <v>962000.00000000012</v>
      </c>
      <c r="M207" s="77">
        <f>L207/F207-1</f>
        <v>-0.24726134585289505</v>
      </c>
      <c r="N207" s="77">
        <f>L207/I207-1</f>
        <v>-0.1541134880737034</v>
      </c>
      <c r="O207" s="20">
        <f>L207/$L$304</f>
        <v>0.22320186029144987</v>
      </c>
      <c r="P207" s="20"/>
      <c r="Q207" s="138">
        <f>SUM(Q203:Q205)</f>
        <v>962000</v>
      </c>
      <c r="R207" s="138">
        <f>SUM(R203:R205)</f>
        <v>483731</v>
      </c>
      <c r="S207" s="138">
        <f>SUM(S203:S205)</f>
        <v>973000</v>
      </c>
      <c r="T207" s="138">
        <f>SUM(T203:T205)</f>
        <v>11000</v>
      </c>
      <c r="U207" s="175">
        <f>S207/Q207-1</f>
        <v>1.1434511434511352E-2</v>
      </c>
      <c r="Y207" s="138">
        <f>SUM(Y203:Y205)</f>
        <v>973000</v>
      </c>
      <c r="AA207" s="138">
        <f>SUM(AA203:AA205)</f>
        <v>975400</v>
      </c>
      <c r="AB207" s="138">
        <f>SUM(AB203:AB205)</f>
        <v>2400</v>
      </c>
      <c r="AE207" s="138">
        <f>SUM(AE203:AE205)</f>
        <v>975500</v>
      </c>
      <c r="AF207" s="213"/>
      <c r="AH207" s="138">
        <f>SUM(AH203:AH205)</f>
        <v>973331</v>
      </c>
      <c r="AI207" s="20">
        <f t="shared" ref="AI207" si="495">AH207/AE207</f>
        <v>0.99777652485904667</v>
      </c>
      <c r="AK207" s="138">
        <f>SUM(AK203:AK205)</f>
        <v>977000</v>
      </c>
      <c r="AL207" s="229">
        <f>AK207/L207</f>
        <v>1.0155925155925154</v>
      </c>
      <c r="AM207" s="20">
        <f>AK207/AE207</f>
        <v>1.0015376729882113</v>
      </c>
      <c r="AN207" s="20">
        <f>AK207/AH207</f>
        <v>1.0037695295844888</v>
      </c>
      <c r="AS207" s="138">
        <f>SUM(AS203:AS205)</f>
        <v>977000</v>
      </c>
      <c r="AU207" s="138">
        <f>SUM(AU203:AU205)</f>
        <v>0</v>
      </c>
      <c r="AV207" s="138">
        <f>SUM(AV203:AV205)</f>
        <v>977000</v>
      </c>
      <c r="AX207" s="138">
        <f>SUM(AX203:AX205)</f>
        <v>0</v>
      </c>
      <c r="AY207" s="138">
        <f>SUM(AY203:AY205)</f>
        <v>977000</v>
      </c>
      <c r="BA207" s="138">
        <f>SUM(BA203:BA205)</f>
        <v>0</v>
      </c>
      <c r="BB207" s="138">
        <f>SUM(BB203:BB205)</f>
        <v>977000</v>
      </c>
      <c r="BD207" s="138">
        <f>SUM(BD203:BD205)</f>
        <v>1000</v>
      </c>
      <c r="BE207" s="138">
        <f>SUM(BE203:BE205)</f>
        <v>978000</v>
      </c>
      <c r="BG207" s="138">
        <f>SUM(BG203:BG205)</f>
        <v>2000</v>
      </c>
      <c r="BH207" s="138">
        <f>SUM(BH203:BH205)</f>
        <v>980000</v>
      </c>
      <c r="BJ207" s="138">
        <f>SUM(BJ203:BJ205)</f>
        <v>979200</v>
      </c>
      <c r="BK207" s="280">
        <f t="shared" ref="BK207" si="496">BJ207/BH207</f>
        <v>0.99918367346938775</v>
      </c>
      <c r="BM207" s="138">
        <f>SUM(BM203:BM205)</f>
        <v>980000</v>
      </c>
      <c r="BN207" s="280">
        <f t="shared" si="492"/>
        <v>1.0008169934640523</v>
      </c>
      <c r="BO207" s="280">
        <f t="shared" si="493"/>
        <v>1</v>
      </c>
      <c r="BQ207" s="138">
        <f>SUM(BQ203:BQ205)</f>
        <v>0</v>
      </c>
      <c r="BR207" s="138">
        <f>SUM(BR203:BR205)</f>
        <v>980000</v>
      </c>
      <c r="BT207" s="138">
        <f>SUM(BT203:BT205)</f>
        <v>0</v>
      </c>
      <c r="BU207" s="138">
        <f>SUM(BU203:BU205)</f>
        <v>980000</v>
      </c>
      <c r="BW207" s="138">
        <f>SUM(BW203:BW205)</f>
        <v>0</v>
      </c>
      <c r="BX207" s="138">
        <f>SUM(BX203:BX205)</f>
        <v>980000</v>
      </c>
      <c r="BZ207" s="138">
        <f>SUM(BZ203:BZ205)</f>
        <v>0</v>
      </c>
      <c r="CA207" s="138">
        <f>SUM(CA203:CA205)</f>
        <v>980000</v>
      </c>
      <c r="CC207" s="138">
        <f>SUM(CC203:CC205)</f>
        <v>0</v>
      </c>
      <c r="CD207" s="138">
        <f>SUM(CD203:CD205)</f>
        <v>980000</v>
      </c>
      <c r="CF207" s="138">
        <f>SUM(CF203:CF205)</f>
        <v>0</v>
      </c>
      <c r="CG207" s="138">
        <f>SUM(CG203:CG205)</f>
        <v>980000</v>
      </c>
      <c r="CI207" s="138">
        <f>SUM(CI203:CI205)</f>
        <v>0</v>
      </c>
      <c r="CJ207" s="138">
        <f>SUM(CJ203:CJ205)</f>
        <v>980000</v>
      </c>
      <c r="CL207" s="391">
        <f>SUM(CL203:CL205)</f>
        <v>0</v>
      </c>
      <c r="CM207" s="138">
        <f>SUM(CM203:CM205)</f>
        <v>980000</v>
      </c>
      <c r="CO207" s="138">
        <f>SUM(CO203:CO205)</f>
        <v>0</v>
      </c>
      <c r="CP207" s="138">
        <f>SUM(CP203:CP205)</f>
        <v>980000</v>
      </c>
      <c r="CR207" s="138">
        <f>SUM(CR203:CR205)</f>
        <v>0</v>
      </c>
      <c r="CS207" s="138">
        <f>SUM(CS203:CS205)</f>
        <v>980000</v>
      </c>
      <c r="CU207" s="138">
        <f>SUM(CU203:CU205)</f>
        <v>27000</v>
      </c>
      <c r="CV207" s="138">
        <f>SUM(CV203:CV205)</f>
        <v>1007000</v>
      </c>
      <c r="CX207" s="138">
        <f>SUM(CX203:CX205)</f>
        <v>0</v>
      </c>
      <c r="CY207" s="138">
        <f>SUM(CY203:CY205)</f>
        <v>1007000</v>
      </c>
      <c r="DA207" s="138">
        <f>SUM(DA203:DA205)</f>
        <v>1005785</v>
      </c>
      <c r="DC207" s="138">
        <f>SUM(DC203:DC205)</f>
        <v>1045000</v>
      </c>
    </row>
    <row r="208" spans="1:107" ht="15" customHeight="1" outlineLevel="1" thickTop="1">
      <c r="A208" s="43" t="s">
        <v>221</v>
      </c>
      <c r="B208" s="43" t="s">
        <v>144</v>
      </c>
      <c r="C208" s="44" t="s">
        <v>145</v>
      </c>
      <c r="D208" s="53">
        <v>16000</v>
      </c>
      <c r="E208" s="45">
        <v>73.650000000000006</v>
      </c>
      <c r="F208" s="53">
        <v>36000</v>
      </c>
      <c r="G208" s="45">
        <v>32.729999999999997</v>
      </c>
      <c r="H208" s="57">
        <v>11784</v>
      </c>
      <c r="I208" s="62">
        <f t="shared" ref="I208:I213" si="497">H208</f>
        <v>11784</v>
      </c>
      <c r="J208" s="46"/>
      <c r="K208" s="47"/>
      <c r="L208" s="144"/>
      <c r="M208" s="47"/>
      <c r="N208" s="47"/>
      <c r="O208" s="468" t="s">
        <v>353</v>
      </c>
      <c r="P208" s="171"/>
      <c r="Q208" s="174"/>
      <c r="AF208" s="213"/>
      <c r="AH208" s="18"/>
      <c r="AX208" s="18"/>
      <c r="BD208" s="18"/>
      <c r="BG208" s="18"/>
    </row>
    <row r="209" spans="1:107" outlineLevel="1">
      <c r="A209" s="43" t="s">
        <v>221</v>
      </c>
      <c r="B209" s="43" t="s">
        <v>148</v>
      </c>
      <c r="C209" s="44" t="s">
        <v>149</v>
      </c>
      <c r="D209" s="53">
        <v>2000</v>
      </c>
      <c r="E209" s="45">
        <v>0</v>
      </c>
      <c r="F209" s="53">
        <v>3000</v>
      </c>
      <c r="G209" s="45">
        <v>0</v>
      </c>
      <c r="H209" s="57">
        <v>0</v>
      </c>
      <c r="I209" s="62">
        <f t="shared" si="497"/>
        <v>0</v>
      </c>
      <c r="J209" s="46"/>
      <c r="K209" s="47"/>
      <c r="L209" s="144"/>
      <c r="M209" s="47"/>
      <c r="N209" s="47"/>
      <c r="O209" s="468"/>
      <c r="P209" s="171"/>
      <c r="Q209" s="174"/>
      <c r="AF209" s="213"/>
      <c r="AH209" s="18"/>
      <c r="AX209" s="18"/>
      <c r="BD209" s="18"/>
      <c r="BG209" s="18"/>
    </row>
    <row r="210" spans="1:107" outlineLevel="1">
      <c r="A210" s="43" t="s">
        <v>221</v>
      </c>
      <c r="B210" s="43" t="s">
        <v>222</v>
      </c>
      <c r="C210" s="44" t="s">
        <v>223</v>
      </c>
      <c r="D210" s="53">
        <v>0</v>
      </c>
      <c r="E210" s="45">
        <v>0</v>
      </c>
      <c r="F210" s="53">
        <v>38</v>
      </c>
      <c r="G210" s="45">
        <v>100</v>
      </c>
      <c r="H210" s="57">
        <v>38</v>
      </c>
      <c r="I210" s="62">
        <f t="shared" si="497"/>
        <v>38</v>
      </c>
      <c r="J210" s="46"/>
      <c r="K210" s="47"/>
      <c r="L210" s="144"/>
      <c r="M210" s="47"/>
      <c r="N210" s="47"/>
      <c r="O210" s="468"/>
      <c r="P210" s="171"/>
      <c r="Q210" s="174"/>
      <c r="AF210" s="213"/>
      <c r="AH210" s="18"/>
      <c r="AX210" s="18"/>
      <c r="BD210" s="18"/>
      <c r="BG210" s="18"/>
    </row>
    <row r="211" spans="1:107" outlineLevel="1">
      <c r="A211" s="43" t="s">
        <v>221</v>
      </c>
      <c r="B211" s="43" t="s">
        <v>208</v>
      </c>
      <c r="C211" s="44" t="s">
        <v>209</v>
      </c>
      <c r="D211" s="53">
        <v>5000</v>
      </c>
      <c r="E211" s="45">
        <v>12.82</v>
      </c>
      <c r="F211" s="53">
        <v>9962</v>
      </c>
      <c r="G211" s="45">
        <v>6.43</v>
      </c>
      <c r="H211" s="57">
        <v>641</v>
      </c>
      <c r="I211" s="62">
        <f t="shared" si="497"/>
        <v>641</v>
      </c>
      <c r="J211" s="46"/>
      <c r="K211" s="47"/>
      <c r="L211" s="144"/>
      <c r="M211" s="47"/>
      <c r="N211" s="47"/>
      <c r="O211" s="468"/>
      <c r="P211" s="171"/>
      <c r="Q211" s="174"/>
      <c r="AF211" s="213"/>
      <c r="AH211" s="18"/>
      <c r="AX211" s="18"/>
      <c r="BD211" s="18"/>
      <c r="BG211" s="18"/>
    </row>
    <row r="212" spans="1:107" outlineLevel="1">
      <c r="A212" s="43" t="s">
        <v>221</v>
      </c>
      <c r="B212" s="43" t="s">
        <v>150</v>
      </c>
      <c r="C212" s="44" t="s">
        <v>151</v>
      </c>
      <c r="D212" s="53">
        <v>2000</v>
      </c>
      <c r="E212" s="45">
        <v>41</v>
      </c>
      <c r="F212" s="53">
        <v>5000</v>
      </c>
      <c r="G212" s="45">
        <v>16.399999999999999</v>
      </c>
      <c r="H212" s="57">
        <v>820</v>
      </c>
      <c r="I212" s="62">
        <f t="shared" si="497"/>
        <v>820</v>
      </c>
      <c r="J212" s="46"/>
      <c r="K212" s="47"/>
      <c r="L212" s="144"/>
      <c r="M212" s="47"/>
      <c r="N212" s="47"/>
      <c r="O212" s="468"/>
      <c r="P212" s="171"/>
      <c r="Q212" s="174"/>
      <c r="AF212" s="213"/>
      <c r="AH212" s="18"/>
      <c r="AX212" s="18"/>
      <c r="BD212" s="18"/>
      <c r="BG212" s="18"/>
    </row>
    <row r="213" spans="1:107" outlineLevel="1">
      <c r="A213" s="43" t="s">
        <v>221</v>
      </c>
      <c r="B213" s="44" t="s">
        <v>46</v>
      </c>
      <c r="C213" s="44" t="s">
        <v>224</v>
      </c>
      <c r="D213" s="53">
        <v>25000</v>
      </c>
      <c r="E213" s="45">
        <v>53.13</v>
      </c>
      <c r="F213" s="53">
        <v>54000</v>
      </c>
      <c r="G213" s="45">
        <v>24.6</v>
      </c>
      <c r="H213" s="57">
        <v>13283</v>
      </c>
      <c r="I213" s="62">
        <f t="shared" si="497"/>
        <v>13283</v>
      </c>
      <c r="J213" s="46"/>
      <c r="K213" s="47"/>
      <c r="L213" s="144"/>
      <c r="M213" s="47"/>
      <c r="N213" s="47"/>
      <c r="O213" s="468"/>
      <c r="P213" s="171"/>
      <c r="Q213" s="174"/>
      <c r="AF213" s="213"/>
      <c r="AH213" s="18"/>
      <c r="AX213" s="18"/>
      <c r="BD213" s="18"/>
      <c r="BG213" s="18"/>
    </row>
    <row r="214" spans="1:107" outlineLevel="1">
      <c r="A214" s="43" t="s">
        <v>225</v>
      </c>
      <c r="B214" s="44" t="s">
        <v>48</v>
      </c>
      <c r="C214" s="44" t="s">
        <v>226</v>
      </c>
      <c r="D214" s="53">
        <v>945000</v>
      </c>
      <c r="E214" s="45">
        <v>105.77</v>
      </c>
      <c r="F214" s="53">
        <v>1332000</v>
      </c>
      <c r="G214" s="45">
        <v>75.040000000000006</v>
      </c>
      <c r="H214" s="57">
        <v>999513</v>
      </c>
      <c r="I214" s="62"/>
      <c r="J214" s="46"/>
      <c r="K214" s="47"/>
      <c r="L214" s="144"/>
      <c r="M214" s="47"/>
      <c r="N214" s="47"/>
      <c r="O214" s="468"/>
      <c r="P214" s="171"/>
      <c r="Q214" s="174"/>
      <c r="AF214" s="213"/>
      <c r="AH214" s="18"/>
      <c r="AX214" s="18"/>
      <c r="BD214" s="18"/>
      <c r="BG214" s="18"/>
    </row>
    <row r="215" spans="1:107" outlineLevel="1">
      <c r="A215" s="48" t="s">
        <v>462</v>
      </c>
      <c r="B215" s="66" t="s">
        <v>144</v>
      </c>
      <c r="C215" s="67" t="s">
        <v>145</v>
      </c>
      <c r="D215" s="62"/>
      <c r="E215" s="230"/>
      <c r="F215" s="62"/>
      <c r="G215" s="230"/>
      <c r="H215" s="62"/>
      <c r="I215" s="62"/>
      <c r="J215" s="46"/>
      <c r="K215" s="47"/>
      <c r="L215" s="144"/>
      <c r="M215" s="47"/>
      <c r="N215" s="47"/>
      <c r="O215" s="223"/>
      <c r="P215" s="223"/>
      <c r="Q215" s="174"/>
      <c r="AF215" s="213"/>
      <c r="AH215" s="18"/>
      <c r="AK215" s="134">
        <v>20000</v>
      </c>
      <c r="AS215" s="18">
        <f t="shared" ref="AS215:AS221" si="498">AR215+AK215</f>
        <v>20000</v>
      </c>
      <c r="AV215" s="18">
        <f t="shared" ref="AV215:AV221" si="499">AS215+AU215</f>
        <v>20000</v>
      </c>
      <c r="AX215" s="18"/>
      <c r="AY215" s="18">
        <f t="shared" ref="AY215:AY221" si="500">AV215+AX215</f>
        <v>20000</v>
      </c>
      <c r="BB215" s="18">
        <f t="shared" ref="BB215:BB221" si="501">AY215+BA215</f>
        <v>20000</v>
      </c>
      <c r="BD215" s="18">
        <v>4600</v>
      </c>
      <c r="BE215" s="18">
        <f t="shared" ref="BE215:BE221" si="502">BB215+BD215</f>
        <v>24600</v>
      </c>
      <c r="BG215" s="18"/>
      <c r="BH215" s="18">
        <f t="shared" ref="BH215:BH221" si="503">BE215+BG215</f>
        <v>24600</v>
      </c>
      <c r="BJ215" s="18">
        <v>14299</v>
      </c>
      <c r="BK215" s="279">
        <f t="shared" ref="BK215:BK221" si="504">BJ215/BH215</f>
        <v>0.58126016260162605</v>
      </c>
      <c r="BM215" s="289"/>
      <c r="BQ215" s="289"/>
      <c r="BR215" s="289"/>
      <c r="BT215" s="289"/>
      <c r="BU215" s="289"/>
      <c r="BW215" s="289"/>
      <c r="BX215" s="289"/>
      <c r="BZ215" s="289"/>
      <c r="CA215" s="289"/>
      <c r="CC215" s="289"/>
      <c r="CD215" s="289"/>
      <c r="CF215" s="289"/>
      <c r="CG215" s="289"/>
      <c r="CI215" s="289"/>
      <c r="CJ215" s="289"/>
      <c r="CM215" s="289"/>
      <c r="CP215" s="289"/>
      <c r="CS215" s="289"/>
      <c r="CV215" s="289"/>
      <c r="CY215" s="289"/>
    </row>
    <row r="216" spans="1:107" outlineLevel="1">
      <c r="A216" s="48" t="s">
        <v>462</v>
      </c>
      <c r="B216" s="66" t="s">
        <v>191</v>
      </c>
      <c r="C216" s="67" t="s">
        <v>192</v>
      </c>
      <c r="D216" s="62"/>
      <c r="E216" s="230"/>
      <c r="F216" s="62"/>
      <c r="G216" s="230"/>
      <c r="H216" s="62"/>
      <c r="I216" s="62"/>
      <c r="J216" s="46"/>
      <c r="K216" s="47"/>
      <c r="L216" s="144"/>
      <c r="M216" s="47"/>
      <c r="N216" s="47"/>
      <c r="O216" s="223"/>
      <c r="P216" s="223"/>
      <c r="Q216" s="174"/>
      <c r="AF216" s="213"/>
      <c r="AH216" s="18"/>
      <c r="AK216" s="134">
        <v>1000</v>
      </c>
      <c r="AS216" s="18">
        <f t="shared" si="498"/>
        <v>1000</v>
      </c>
      <c r="AV216" s="18">
        <f t="shared" si="499"/>
        <v>1000</v>
      </c>
      <c r="AX216" s="18"/>
      <c r="AY216" s="18">
        <f t="shared" si="500"/>
        <v>1000</v>
      </c>
      <c r="BB216" s="18">
        <f t="shared" si="501"/>
        <v>1000</v>
      </c>
      <c r="BD216" s="18"/>
      <c r="BE216" s="18">
        <f t="shared" si="502"/>
        <v>1000</v>
      </c>
      <c r="BG216" s="18"/>
      <c r="BH216" s="18">
        <f t="shared" si="503"/>
        <v>1000</v>
      </c>
      <c r="BJ216" s="18">
        <v>525</v>
      </c>
      <c r="BK216" s="279">
        <f t="shared" si="504"/>
        <v>0.52500000000000002</v>
      </c>
      <c r="BM216" s="289"/>
      <c r="BQ216" s="289"/>
      <c r="BR216" s="289"/>
      <c r="BT216" s="289"/>
      <c r="BU216" s="289"/>
      <c r="BW216" s="289"/>
      <c r="BX216" s="289"/>
      <c r="BZ216" s="289"/>
      <c r="CA216" s="289"/>
      <c r="CC216" s="289"/>
      <c r="CD216" s="289"/>
      <c r="CF216" s="289"/>
      <c r="CG216" s="289"/>
      <c r="CI216" s="289"/>
      <c r="CJ216" s="289"/>
      <c r="CM216" s="289"/>
      <c r="CP216" s="289"/>
      <c r="CS216" s="289"/>
      <c r="CV216" s="289"/>
      <c r="CY216" s="289"/>
    </row>
    <row r="217" spans="1:107" outlineLevel="1">
      <c r="A217" s="48" t="s">
        <v>462</v>
      </c>
      <c r="B217" s="66" t="s">
        <v>229</v>
      </c>
      <c r="C217" s="67" t="s">
        <v>230</v>
      </c>
      <c r="D217" s="62"/>
      <c r="E217" s="230"/>
      <c r="F217" s="62"/>
      <c r="G217" s="230"/>
      <c r="H217" s="62"/>
      <c r="I217" s="62"/>
      <c r="J217" s="46"/>
      <c r="K217" s="47"/>
      <c r="L217" s="144"/>
      <c r="M217" s="47"/>
      <c r="N217" s="47"/>
      <c r="O217" s="223"/>
      <c r="P217" s="223"/>
      <c r="Q217" s="174"/>
      <c r="AF217" s="213"/>
      <c r="AH217" s="18"/>
      <c r="AK217" s="134">
        <v>1000</v>
      </c>
      <c r="AS217" s="18">
        <f t="shared" si="498"/>
        <v>1000</v>
      </c>
      <c r="AV217" s="18">
        <f t="shared" si="499"/>
        <v>1000</v>
      </c>
      <c r="AX217" s="18"/>
      <c r="AY217" s="18">
        <f t="shared" si="500"/>
        <v>1000</v>
      </c>
      <c r="BB217" s="18">
        <f t="shared" si="501"/>
        <v>1000</v>
      </c>
      <c r="BD217" s="18"/>
      <c r="BE217" s="18">
        <f t="shared" si="502"/>
        <v>1000</v>
      </c>
      <c r="BG217" s="18"/>
      <c r="BH217" s="18">
        <f t="shared" si="503"/>
        <v>1000</v>
      </c>
      <c r="BJ217" s="18">
        <v>408</v>
      </c>
      <c r="BK217" s="279">
        <f t="shared" si="504"/>
        <v>0.40799999999999997</v>
      </c>
      <c r="BM217" s="289"/>
      <c r="BQ217" s="289"/>
      <c r="BR217" s="289"/>
      <c r="BT217" s="289"/>
      <c r="BU217" s="289"/>
      <c r="BW217" s="289"/>
      <c r="BX217" s="289"/>
      <c r="BZ217" s="289"/>
      <c r="CA217" s="289"/>
      <c r="CC217" s="289"/>
      <c r="CD217" s="289"/>
      <c r="CF217" s="289"/>
      <c r="CG217" s="289"/>
      <c r="CI217" s="289"/>
      <c r="CJ217" s="289"/>
      <c r="CM217" s="289"/>
      <c r="CP217" s="289"/>
      <c r="CS217" s="289"/>
      <c r="CV217" s="289"/>
      <c r="CY217" s="289"/>
    </row>
    <row r="218" spans="1:107" outlineLevel="1">
      <c r="A218" s="48" t="s">
        <v>462</v>
      </c>
      <c r="B218" s="66" t="s">
        <v>148</v>
      </c>
      <c r="C218" s="67" t="s">
        <v>149</v>
      </c>
      <c r="D218" s="62"/>
      <c r="E218" s="230"/>
      <c r="F218" s="62"/>
      <c r="G218" s="230"/>
      <c r="H218" s="62"/>
      <c r="I218" s="62"/>
      <c r="J218" s="46"/>
      <c r="K218" s="47"/>
      <c r="L218" s="144"/>
      <c r="M218" s="47"/>
      <c r="N218" s="47"/>
      <c r="O218" s="223"/>
      <c r="P218" s="223"/>
      <c r="Q218" s="174"/>
      <c r="AF218" s="213"/>
      <c r="AH218" s="18"/>
      <c r="AK218" s="134">
        <v>1200</v>
      </c>
      <c r="AS218" s="18">
        <f t="shared" si="498"/>
        <v>1200</v>
      </c>
      <c r="AV218" s="18">
        <f t="shared" si="499"/>
        <v>1200</v>
      </c>
      <c r="AX218" s="18"/>
      <c r="AY218" s="18">
        <f t="shared" si="500"/>
        <v>1200</v>
      </c>
      <c r="BB218" s="18">
        <f t="shared" si="501"/>
        <v>1200</v>
      </c>
      <c r="BD218" s="18"/>
      <c r="BE218" s="18">
        <f t="shared" si="502"/>
        <v>1200</v>
      </c>
      <c r="BG218" s="18"/>
      <c r="BH218" s="18">
        <f t="shared" si="503"/>
        <v>1200</v>
      </c>
      <c r="BJ218" s="18">
        <v>0</v>
      </c>
      <c r="BK218" s="279">
        <f t="shared" si="504"/>
        <v>0</v>
      </c>
      <c r="BM218" s="289"/>
      <c r="BQ218" s="289"/>
      <c r="BR218" s="289"/>
      <c r="BT218" s="289"/>
      <c r="BU218" s="289"/>
      <c r="BW218" s="289"/>
      <c r="BX218" s="289"/>
      <c r="BZ218" s="289"/>
      <c r="CA218" s="289"/>
      <c r="CC218" s="289"/>
      <c r="CD218" s="289"/>
      <c r="CF218" s="289"/>
      <c r="CG218" s="289"/>
      <c r="CI218" s="289"/>
      <c r="CJ218" s="289"/>
      <c r="CM218" s="289"/>
      <c r="CP218" s="289"/>
      <c r="CS218" s="289"/>
      <c r="CV218" s="289"/>
      <c r="CY218" s="289"/>
    </row>
    <row r="219" spans="1:107" outlineLevel="1">
      <c r="A219" s="48" t="s">
        <v>462</v>
      </c>
      <c r="B219" s="66" t="s">
        <v>222</v>
      </c>
      <c r="C219" s="67" t="s">
        <v>223</v>
      </c>
      <c r="D219" s="62"/>
      <c r="E219" s="230"/>
      <c r="F219" s="62"/>
      <c r="G219" s="230"/>
      <c r="H219" s="62"/>
      <c r="I219" s="62"/>
      <c r="J219" s="46"/>
      <c r="K219" s="47"/>
      <c r="L219" s="144"/>
      <c r="M219" s="47"/>
      <c r="N219" s="47"/>
      <c r="O219" s="223"/>
      <c r="P219" s="223"/>
      <c r="Q219" s="174"/>
      <c r="AF219" s="213"/>
      <c r="AH219" s="18"/>
      <c r="AK219" s="134">
        <v>200</v>
      </c>
      <c r="AS219" s="18">
        <f t="shared" si="498"/>
        <v>200</v>
      </c>
      <c r="AV219" s="18">
        <f t="shared" si="499"/>
        <v>200</v>
      </c>
      <c r="AX219" s="18"/>
      <c r="AY219" s="18">
        <f t="shared" si="500"/>
        <v>200</v>
      </c>
      <c r="BB219" s="18">
        <f t="shared" si="501"/>
        <v>200</v>
      </c>
      <c r="BD219" s="18"/>
      <c r="BE219" s="18">
        <f t="shared" si="502"/>
        <v>200</v>
      </c>
      <c r="BG219" s="18"/>
      <c r="BH219" s="18">
        <f t="shared" si="503"/>
        <v>200</v>
      </c>
      <c r="BJ219" s="18">
        <v>0</v>
      </c>
      <c r="BK219" s="279">
        <f t="shared" si="504"/>
        <v>0</v>
      </c>
      <c r="BM219" s="289"/>
      <c r="BQ219" s="289"/>
      <c r="BR219" s="289"/>
      <c r="BT219" s="289"/>
      <c r="BU219" s="289"/>
      <c r="BW219" s="289"/>
      <c r="BX219" s="289"/>
      <c r="BZ219" s="289"/>
      <c r="CA219" s="289"/>
      <c r="CC219" s="289"/>
      <c r="CD219" s="289"/>
      <c r="CF219" s="289"/>
      <c r="CG219" s="289"/>
      <c r="CI219" s="289"/>
      <c r="CJ219" s="289"/>
      <c r="CM219" s="289"/>
      <c r="CP219" s="289"/>
      <c r="CS219" s="289"/>
      <c r="CV219" s="289"/>
      <c r="CY219" s="289"/>
    </row>
    <row r="220" spans="1:107" outlineLevel="1">
      <c r="A220" s="48" t="s">
        <v>462</v>
      </c>
      <c r="B220" s="66" t="s">
        <v>208</v>
      </c>
      <c r="C220" s="67" t="s">
        <v>209</v>
      </c>
      <c r="D220" s="62"/>
      <c r="E220" s="230"/>
      <c r="F220" s="62"/>
      <c r="G220" s="230"/>
      <c r="H220" s="62"/>
      <c r="I220" s="62"/>
      <c r="J220" s="46"/>
      <c r="K220" s="47"/>
      <c r="L220" s="144"/>
      <c r="M220" s="47"/>
      <c r="N220" s="47"/>
      <c r="O220" s="223"/>
      <c r="P220" s="223"/>
      <c r="Q220" s="174"/>
      <c r="AF220" s="213"/>
      <c r="AH220" s="18"/>
      <c r="AK220" s="134">
        <v>1000</v>
      </c>
      <c r="AS220" s="18">
        <f t="shared" si="498"/>
        <v>1000</v>
      </c>
      <c r="AV220" s="18">
        <f t="shared" si="499"/>
        <v>1000</v>
      </c>
      <c r="AX220" s="18"/>
      <c r="AY220" s="18">
        <f t="shared" si="500"/>
        <v>1000</v>
      </c>
      <c r="BB220" s="18">
        <f t="shared" si="501"/>
        <v>1000</v>
      </c>
      <c r="BD220" s="18"/>
      <c r="BE220" s="18">
        <f t="shared" si="502"/>
        <v>1000</v>
      </c>
      <c r="BG220" s="18"/>
      <c r="BH220" s="18">
        <f t="shared" si="503"/>
        <v>1000</v>
      </c>
      <c r="BJ220" s="18">
        <v>636</v>
      </c>
      <c r="BK220" s="279">
        <f t="shared" si="504"/>
        <v>0.63600000000000001</v>
      </c>
      <c r="BM220" s="289"/>
      <c r="BQ220" s="289"/>
      <c r="BR220" s="289"/>
      <c r="BT220" s="289"/>
      <c r="BU220" s="289"/>
      <c r="BW220" s="289"/>
      <c r="BX220" s="289"/>
      <c r="BZ220" s="289"/>
      <c r="CA220" s="289"/>
      <c r="CC220" s="289"/>
      <c r="CD220" s="289"/>
      <c r="CF220" s="289"/>
      <c r="CG220" s="289"/>
      <c r="CI220" s="289"/>
      <c r="CJ220" s="289"/>
      <c r="CM220" s="289"/>
      <c r="CP220" s="289"/>
      <c r="CS220" s="289"/>
      <c r="CV220" s="289"/>
      <c r="CY220" s="289"/>
    </row>
    <row r="221" spans="1:107" outlineLevel="1">
      <c r="A221" s="48" t="s">
        <v>462</v>
      </c>
      <c r="B221" s="66" t="s">
        <v>150</v>
      </c>
      <c r="C221" s="67" t="s">
        <v>151</v>
      </c>
      <c r="D221" s="62"/>
      <c r="E221" s="230"/>
      <c r="F221" s="62"/>
      <c r="G221" s="230"/>
      <c r="H221" s="62"/>
      <c r="I221" s="62"/>
      <c r="J221" s="46"/>
      <c r="K221" s="47"/>
      <c r="L221" s="144"/>
      <c r="M221" s="47"/>
      <c r="N221" s="47"/>
      <c r="O221" s="223"/>
      <c r="P221" s="223"/>
      <c r="Q221" s="174"/>
      <c r="AF221" s="213"/>
      <c r="AH221" s="18"/>
      <c r="AK221" s="134">
        <v>2000</v>
      </c>
      <c r="AS221" s="18">
        <f t="shared" si="498"/>
        <v>2000</v>
      </c>
      <c r="AV221" s="18">
        <f t="shared" si="499"/>
        <v>2000</v>
      </c>
      <c r="AX221" s="18"/>
      <c r="AY221" s="18">
        <f t="shared" si="500"/>
        <v>2000</v>
      </c>
      <c r="BB221" s="18">
        <f t="shared" si="501"/>
        <v>2000</v>
      </c>
      <c r="BD221" s="18"/>
      <c r="BE221" s="18">
        <f t="shared" si="502"/>
        <v>2000</v>
      </c>
      <c r="BG221" s="18"/>
      <c r="BH221" s="18">
        <f t="shared" si="503"/>
        <v>2000</v>
      </c>
      <c r="BJ221" s="18">
        <v>910</v>
      </c>
      <c r="BK221" s="279">
        <f t="shared" si="504"/>
        <v>0.45500000000000002</v>
      </c>
      <c r="BM221" s="289"/>
      <c r="BQ221" s="289"/>
      <c r="BR221" s="289"/>
      <c r="BT221" s="289"/>
      <c r="BU221" s="289"/>
      <c r="BW221" s="289"/>
      <c r="BX221" s="289"/>
      <c r="BZ221" s="289"/>
      <c r="CA221" s="289"/>
      <c r="CC221" s="289"/>
      <c r="CD221" s="289"/>
      <c r="CF221" s="289"/>
      <c r="CG221" s="289"/>
      <c r="CI221" s="289"/>
      <c r="CJ221" s="289"/>
      <c r="CM221" s="289"/>
      <c r="CP221" s="289"/>
      <c r="CR221" s="327"/>
      <c r="CS221" s="289"/>
      <c r="CU221" s="327"/>
      <c r="CV221" s="289"/>
      <c r="CX221" s="327"/>
      <c r="CY221" s="289"/>
      <c r="DA221" s="327"/>
      <c r="DC221" s="327"/>
    </row>
    <row r="222" spans="1:107" outlineLevel="1">
      <c r="A222" s="48" t="s">
        <v>462</v>
      </c>
      <c r="B222" s="231" t="s">
        <v>46</v>
      </c>
      <c r="C222" s="67" t="s">
        <v>463</v>
      </c>
      <c r="D222" s="62"/>
      <c r="E222" s="230"/>
      <c r="F222" s="62"/>
      <c r="G222" s="230"/>
      <c r="H222" s="62"/>
      <c r="I222" s="62"/>
      <c r="J222" s="46"/>
      <c r="K222" s="47"/>
      <c r="L222" s="144"/>
      <c r="M222" s="47"/>
      <c r="N222" s="47"/>
      <c r="O222" s="223"/>
      <c r="P222" s="223"/>
      <c r="Q222" s="174"/>
      <c r="AF222" s="213"/>
      <c r="AH222" s="18"/>
      <c r="AX222" s="18"/>
      <c r="BD222" s="18"/>
      <c r="BG222" s="18"/>
      <c r="CR222" s="327"/>
      <c r="CU222" s="327"/>
      <c r="CX222" s="327"/>
      <c r="DA222" s="327"/>
      <c r="DC222" s="327"/>
    </row>
    <row r="223" spans="1:107" outlineLevel="1">
      <c r="A223" s="16" t="s">
        <v>354</v>
      </c>
      <c r="B223" s="404" t="s">
        <v>185</v>
      </c>
      <c r="C223" s="67" t="s">
        <v>186</v>
      </c>
      <c r="D223" s="62"/>
      <c r="E223" s="230"/>
      <c r="F223" s="62"/>
      <c r="G223" s="230"/>
      <c r="H223" s="62"/>
      <c r="I223" s="62"/>
      <c r="J223" s="46"/>
      <c r="K223" s="47"/>
      <c r="L223" s="144"/>
      <c r="M223" s="47"/>
      <c r="N223" s="47"/>
      <c r="O223" s="389"/>
      <c r="P223" s="389"/>
      <c r="Q223" s="174"/>
      <c r="AF223" s="213"/>
      <c r="AH223" s="18"/>
      <c r="AX223" s="18"/>
      <c r="BD223" s="18"/>
      <c r="BG223" s="18"/>
      <c r="CO223" s="327">
        <v>1800</v>
      </c>
      <c r="CP223" s="18">
        <f t="shared" ref="CP223:CP230" si="505">CM223+CO223</f>
        <v>1800</v>
      </c>
      <c r="CR223" s="327"/>
      <c r="CS223" s="18">
        <f t="shared" ref="CS223:CS230" si="506">CP223+CR223</f>
        <v>1800</v>
      </c>
      <c r="CU223" s="327"/>
      <c r="CV223" s="18">
        <f t="shared" ref="CV223:CV230" si="507">CS223+CU223</f>
        <v>1800</v>
      </c>
      <c r="CX223" s="327"/>
      <c r="CY223" s="18">
        <f t="shared" ref="CY223:CY230" si="508">CV223+CX223</f>
        <v>1800</v>
      </c>
      <c r="DA223" s="327">
        <v>1785</v>
      </c>
      <c r="DC223" s="327"/>
    </row>
    <row r="224" spans="1:107" outlineLevel="1">
      <c r="A224" s="16" t="s">
        <v>354</v>
      </c>
      <c r="B224" s="66" t="s">
        <v>144</v>
      </c>
      <c r="C224" s="67" t="s">
        <v>145</v>
      </c>
      <c r="D224" s="40"/>
      <c r="E224" s="65"/>
      <c r="F224" s="40"/>
      <c r="G224" s="65"/>
      <c r="H224" s="40"/>
      <c r="I224" s="40"/>
      <c r="J224" s="17"/>
      <c r="K224" t="s">
        <v>336</v>
      </c>
      <c r="L224" s="134">
        <v>14000</v>
      </c>
      <c r="M224" s="20" t="e">
        <f t="shared" ref="M224:M237" si="509">L224/F224-1</f>
        <v>#DIV/0!</v>
      </c>
      <c r="N224" s="20" t="e">
        <f>L224/I224-1</f>
        <v>#DIV/0!</v>
      </c>
      <c r="Q224" s="134">
        <f>L224</f>
        <v>14000</v>
      </c>
      <c r="R224" s="18">
        <v>0</v>
      </c>
      <c r="S224" s="134">
        <f>Q224</f>
        <v>14000</v>
      </c>
      <c r="T224" s="18">
        <f t="shared" ref="T224:T230" si="510">S224-Q224</f>
        <v>0</v>
      </c>
      <c r="U224" s="19">
        <f t="shared" ref="U224:U237" si="511">S224/Q224-1</f>
        <v>0</v>
      </c>
      <c r="Y224" s="134">
        <v>17000</v>
      </c>
      <c r="AA224" s="143">
        <v>17000</v>
      </c>
      <c r="AB224" s="216">
        <f t="shared" ref="AB224:AB230" si="512">AA224-Y224</f>
        <v>0</v>
      </c>
      <c r="AC224" s="219">
        <f t="shared" ref="AC224:AC230" si="513">AA224-Y224</f>
        <v>0</v>
      </c>
      <c r="AD224" s="219"/>
      <c r="AE224" s="143">
        <v>17000</v>
      </c>
      <c r="AF224" s="213"/>
      <c r="AH224" s="18">
        <v>16579</v>
      </c>
      <c r="AI224" s="20">
        <f t="shared" ref="AI224:AI238" si="514">AH224/AE224</f>
        <v>0.97523529411764709</v>
      </c>
      <c r="AX224" s="18"/>
      <c r="BD224" s="18"/>
      <c r="BG224" s="18"/>
      <c r="BM224" s="207">
        <v>20000</v>
      </c>
      <c r="BQ224" s="289"/>
      <c r="BR224" s="18">
        <f t="shared" ref="BR224:BR230" si="515">BM224+BQ224</f>
        <v>20000</v>
      </c>
      <c r="BT224" s="289"/>
      <c r="BU224" s="18">
        <f t="shared" ref="BU224:BU230" si="516">BR224+BT224</f>
        <v>20000</v>
      </c>
      <c r="BW224" s="289"/>
      <c r="BX224" s="18">
        <f t="shared" ref="BX224:BX230" si="517">BU224+BW224</f>
        <v>20000</v>
      </c>
      <c r="BZ224" s="289"/>
      <c r="CA224" s="18">
        <f t="shared" ref="CA224:CA230" si="518">BX224+BZ224</f>
        <v>20000</v>
      </c>
      <c r="CC224" s="289"/>
      <c r="CD224" s="18">
        <f t="shared" ref="CD224:CD230" si="519">CA224+CC224</f>
        <v>20000</v>
      </c>
      <c r="CF224" s="289"/>
      <c r="CG224" s="18">
        <f t="shared" ref="CG224:CG230" si="520">CD224+CF224</f>
        <v>20000</v>
      </c>
      <c r="CI224" s="289"/>
      <c r="CJ224" s="18">
        <f t="shared" ref="CJ224:CJ230" si="521">CG224+CI224</f>
        <v>20000</v>
      </c>
      <c r="CL224" s="327">
        <v>-18000</v>
      </c>
      <c r="CM224" s="18">
        <f t="shared" ref="CM224:CM230" si="522">CJ224+CL224</f>
        <v>2000</v>
      </c>
      <c r="CO224" s="327">
        <v>6000</v>
      </c>
      <c r="CP224" s="18">
        <f t="shared" si="505"/>
        <v>8000</v>
      </c>
      <c r="CR224" s="327"/>
      <c r="CS224" s="18">
        <f t="shared" si="506"/>
        <v>8000</v>
      </c>
      <c r="CU224" s="327"/>
      <c r="CV224" s="18">
        <f t="shared" si="507"/>
        <v>8000</v>
      </c>
      <c r="CX224" s="327"/>
      <c r="CY224" s="18">
        <f t="shared" si="508"/>
        <v>8000</v>
      </c>
      <c r="DA224" s="327">
        <v>7938</v>
      </c>
      <c r="DC224" s="327"/>
    </row>
    <row r="225" spans="1:107" outlineLevel="1">
      <c r="A225" s="16" t="s">
        <v>354</v>
      </c>
      <c r="B225" s="66" t="s">
        <v>191</v>
      </c>
      <c r="C225" s="67" t="s">
        <v>192</v>
      </c>
      <c r="D225" s="40"/>
      <c r="E225" s="65"/>
      <c r="F225" s="40"/>
      <c r="G225" s="65"/>
      <c r="H225" s="40"/>
      <c r="I225" s="40"/>
      <c r="J225" s="17"/>
      <c r="M225" s="20"/>
      <c r="N225" s="20"/>
      <c r="U225" s="19"/>
      <c r="Y225" s="134">
        <v>1000</v>
      </c>
      <c r="AA225" s="134">
        <v>500</v>
      </c>
      <c r="AB225" s="216">
        <f t="shared" si="512"/>
        <v>-500</v>
      </c>
      <c r="AC225" s="219">
        <f t="shared" si="513"/>
        <v>-500</v>
      </c>
      <c r="AD225" s="219"/>
      <c r="AE225" s="134">
        <v>500</v>
      </c>
      <c r="AF225" s="213"/>
      <c r="AH225" s="18">
        <v>489</v>
      </c>
      <c r="AI225" s="20">
        <f t="shared" si="514"/>
        <v>0.97799999999999998</v>
      </c>
      <c r="AX225" s="18"/>
      <c r="BD225" s="18"/>
      <c r="BG225" s="18"/>
      <c r="BM225" s="207">
        <v>500</v>
      </c>
      <c r="BQ225" s="289"/>
      <c r="BR225" s="18">
        <f t="shared" si="515"/>
        <v>500</v>
      </c>
      <c r="BT225" s="289"/>
      <c r="BU225" s="18">
        <f t="shared" si="516"/>
        <v>500</v>
      </c>
      <c r="BW225" s="289"/>
      <c r="BX225" s="18">
        <f t="shared" si="517"/>
        <v>500</v>
      </c>
      <c r="BZ225" s="289"/>
      <c r="CA225" s="18">
        <f t="shared" si="518"/>
        <v>500</v>
      </c>
      <c r="CC225" s="289"/>
      <c r="CD225" s="18">
        <f t="shared" si="519"/>
        <v>500</v>
      </c>
      <c r="CF225" s="289"/>
      <c r="CG225" s="18">
        <f t="shared" si="520"/>
        <v>500</v>
      </c>
      <c r="CI225" s="289"/>
      <c r="CJ225" s="18">
        <f t="shared" si="521"/>
        <v>500</v>
      </c>
      <c r="CM225" s="18">
        <f t="shared" si="522"/>
        <v>500</v>
      </c>
      <c r="CO225" s="327"/>
      <c r="CP225" s="18">
        <f t="shared" si="505"/>
        <v>500</v>
      </c>
      <c r="CR225" s="327"/>
      <c r="CS225" s="18">
        <f t="shared" si="506"/>
        <v>500</v>
      </c>
      <c r="CU225" s="327"/>
      <c r="CV225" s="18">
        <f t="shared" si="507"/>
        <v>500</v>
      </c>
      <c r="CX225" s="327"/>
      <c r="CY225" s="18">
        <f t="shared" si="508"/>
        <v>500</v>
      </c>
      <c r="DA225" s="327">
        <v>0</v>
      </c>
      <c r="DC225" s="327"/>
    </row>
    <row r="226" spans="1:107" outlineLevel="1">
      <c r="A226" s="16" t="s">
        <v>354</v>
      </c>
      <c r="B226" s="66" t="s">
        <v>229</v>
      </c>
      <c r="C226" s="67" t="s">
        <v>230</v>
      </c>
      <c r="D226" s="40"/>
      <c r="E226" s="65"/>
      <c r="F226" s="40"/>
      <c r="G226" s="65"/>
      <c r="H226" s="40"/>
      <c r="I226" s="40"/>
      <c r="J226" s="17"/>
      <c r="M226" s="20"/>
      <c r="N226" s="20"/>
      <c r="U226" s="19"/>
      <c r="Y226" s="134">
        <v>1000</v>
      </c>
      <c r="AA226" s="134">
        <v>850</v>
      </c>
      <c r="AB226" s="216">
        <f t="shared" si="512"/>
        <v>-150</v>
      </c>
      <c r="AC226" s="219">
        <f t="shared" si="513"/>
        <v>-150</v>
      </c>
      <c r="AD226" s="219"/>
      <c r="AE226" s="134">
        <v>850</v>
      </c>
      <c r="AF226" s="213"/>
      <c r="AH226" s="18">
        <v>840</v>
      </c>
      <c r="AI226" s="20">
        <f t="shared" si="514"/>
        <v>0.9882352941176471</v>
      </c>
      <c r="AX226" s="18"/>
      <c r="BD226" s="18"/>
      <c r="BG226" s="18"/>
      <c r="BM226" s="207">
        <v>1000</v>
      </c>
      <c r="BQ226" s="289"/>
      <c r="BR226" s="18">
        <f t="shared" si="515"/>
        <v>1000</v>
      </c>
      <c r="BT226" s="289"/>
      <c r="BU226" s="18">
        <f t="shared" si="516"/>
        <v>1000</v>
      </c>
      <c r="BW226" s="289"/>
      <c r="BX226" s="18">
        <f t="shared" si="517"/>
        <v>1000</v>
      </c>
      <c r="BZ226" s="289"/>
      <c r="CA226" s="18">
        <f t="shared" si="518"/>
        <v>1000</v>
      </c>
      <c r="CC226" s="289"/>
      <c r="CD226" s="18">
        <f t="shared" si="519"/>
        <v>1000</v>
      </c>
      <c r="CF226" s="289"/>
      <c r="CG226" s="18">
        <f t="shared" si="520"/>
        <v>1000</v>
      </c>
      <c r="CI226" s="289"/>
      <c r="CJ226" s="18">
        <f t="shared" si="521"/>
        <v>1000</v>
      </c>
      <c r="CM226" s="18">
        <f t="shared" si="522"/>
        <v>1000</v>
      </c>
      <c r="CO226" s="327"/>
      <c r="CP226" s="18">
        <f t="shared" si="505"/>
        <v>1000</v>
      </c>
      <c r="CR226" s="327"/>
      <c r="CS226" s="18">
        <f t="shared" si="506"/>
        <v>1000</v>
      </c>
      <c r="CU226" s="327"/>
      <c r="CV226" s="18">
        <f t="shared" si="507"/>
        <v>1000</v>
      </c>
      <c r="CX226" s="327"/>
      <c r="CY226" s="18">
        <f t="shared" si="508"/>
        <v>1000</v>
      </c>
      <c r="DA226" s="327">
        <v>0</v>
      </c>
      <c r="DC226" s="327"/>
    </row>
    <row r="227" spans="1:107" outlineLevel="1">
      <c r="A227" s="16" t="s">
        <v>354</v>
      </c>
      <c r="B227" s="66" t="s">
        <v>148</v>
      </c>
      <c r="C227" s="67" t="s">
        <v>149</v>
      </c>
      <c r="D227" s="40"/>
      <c r="E227" s="65"/>
      <c r="F227" s="40"/>
      <c r="G227" s="65"/>
      <c r="H227" s="40"/>
      <c r="I227" s="40"/>
      <c r="J227" s="17"/>
      <c r="K227" t="s">
        <v>336</v>
      </c>
      <c r="L227" s="134">
        <v>1000</v>
      </c>
      <c r="M227" s="20" t="e">
        <f t="shared" si="509"/>
        <v>#DIV/0!</v>
      </c>
      <c r="N227" s="20" t="e">
        <f>L227/I227-1</f>
        <v>#DIV/0!</v>
      </c>
      <c r="Q227" s="134">
        <f>L227</f>
        <v>1000</v>
      </c>
      <c r="R227" s="18">
        <v>0</v>
      </c>
      <c r="S227" s="134">
        <f>Q227</f>
        <v>1000</v>
      </c>
      <c r="T227" s="18">
        <f t="shared" si="510"/>
        <v>0</v>
      </c>
      <c r="U227" s="19">
        <f t="shared" si="511"/>
        <v>0</v>
      </c>
      <c r="Y227" s="134">
        <v>1100</v>
      </c>
      <c r="AA227" s="134">
        <v>1100</v>
      </c>
      <c r="AB227" s="216">
        <f t="shared" si="512"/>
        <v>0</v>
      </c>
      <c r="AC227" s="219">
        <f t="shared" si="513"/>
        <v>0</v>
      </c>
      <c r="AD227" s="219"/>
      <c r="AE227" s="134">
        <v>1100</v>
      </c>
      <c r="AF227" s="213"/>
      <c r="AH227" s="18">
        <v>1005</v>
      </c>
      <c r="AI227" s="20">
        <f t="shared" si="514"/>
        <v>0.91363636363636369</v>
      </c>
      <c r="AX227" s="18"/>
      <c r="BD227" s="18"/>
      <c r="BG227" s="18"/>
      <c r="BM227" s="207">
        <v>1500</v>
      </c>
      <c r="BQ227" s="289"/>
      <c r="BR227" s="18">
        <f t="shared" si="515"/>
        <v>1500</v>
      </c>
      <c r="BT227" s="289"/>
      <c r="BU227" s="18">
        <f t="shared" si="516"/>
        <v>1500</v>
      </c>
      <c r="BW227" s="289"/>
      <c r="BX227" s="18">
        <f t="shared" si="517"/>
        <v>1500</v>
      </c>
      <c r="BZ227" s="289"/>
      <c r="CA227" s="18">
        <f t="shared" si="518"/>
        <v>1500</v>
      </c>
      <c r="CC227" s="289"/>
      <c r="CD227" s="18">
        <f t="shared" si="519"/>
        <v>1500</v>
      </c>
      <c r="CF227" s="289"/>
      <c r="CG227" s="18">
        <f t="shared" si="520"/>
        <v>1500</v>
      </c>
      <c r="CI227" s="289"/>
      <c r="CJ227" s="18">
        <f t="shared" si="521"/>
        <v>1500</v>
      </c>
      <c r="CM227" s="18">
        <f t="shared" si="522"/>
        <v>1500</v>
      </c>
      <c r="CO227" s="327"/>
      <c r="CP227" s="18">
        <f t="shared" si="505"/>
        <v>1500</v>
      </c>
      <c r="CR227" s="327"/>
      <c r="CS227" s="18">
        <f t="shared" si="506"/>
        <v>1500</v>
      </c>
      <c r="CU227" s="327"/>
      <c r="CV227" s="18">
        <f t="shared" si="507"/>
        <v>1500</v>
      </c>
      <c r="CX227" s="327"/>
      <c r="CY227" s="18">
        <f t="shared" si="508"/>
        <v>1500</v>
      </c>
      <c r="DA227" s="327">
        <v>0</v>
      </c>
      <c r="DC227" s="327"/>
    </row>
    <row r="228" spans="1:107" outlineLevel="1">
      <c r="A228" s="16" t="s">
        <v>354</v>
      </c>
      <c r="B228" s="66" t="s">
        <v>222</v>
      </c>
      <c r="C228" s="67" t="s">
        <v>223</v>
      </c>
      <c r="D228" s="40"/>
      <c r="E228" s="65"/>
      <c r="F228" s="40"/>
      <c r="G228" s="65"/>
      <c r="H228" s="40"/>
      <c r="I228" s="40"/>
      <c r="J228" s="17"/>
      <c r="K228" t="s">
        <v>336</v>
      </c>
      <c r="L228" s="134">
        <v>100</v>
      </c>
      <c r="M228" s="20" t="e">
        <f t="shared" si="509"/>
        <v>#DIV/0!</v>
      </c>
      <c r="N228" s="20" t="e">
        <f>L228/I228-1</f>
        <v>#DIV/0!</v>
      </c>
      <c r="Q228" s="134">
        <f>L228</f>
        <v>100</v>
      </c>
      <c r="R228" s="18">
        <v>0</v>
      </c>
      <c r="S228" s="134">
        <f>Q228</f>
        <v>100</v>
      </c>
      <c r="T228" s="18">
        <f t="shared" si="510"/>
        <v>0</v>
      </c>
      <c r="U228" s="19">
        <f t="shared" si="511"/>
        <v>0</v>
      </c>
      <c r="Y228" s="134">
        <v>100</v>
      </c>
      <c r="AA228" s="134">
        <v>100</v>
      </c>
      <c r="AB228" s="216">
        <f t="shared" si="512"/>
        <v>0</v>
      </c>
      <c r="AC228" s="219">
        <f t="shared" si="513"/>
        <v>0</v>
      </c>
      <c r="AD228" s="219"/>
      <c r="AE228" s="134">
        <v>100</v>
      </c>
      <c r="AF228" s="213"/>
      <c r="AH228" s="18">
        <v>38</v>
      </c>
      <c r="AI228" s="20">
        <f t="shared" si="514"/>
        <v>0.38</v>
      </c>
      <c r="AX228" s="18"/>
      <c r="BD228" s="18"/>
      <c r="BG228" s="18"/>
      <c r="BM228" s="207">
        <v>100</v>
      </c>
      <c r="BQ228" s="289"/>
      <c r="BR228" s="18">
        <f t="shared" si="515"/>
        <v>100</v>
      </c>
      <c r="BT228" s="289"/>
      <c r="BU228" s="18">
        <f t="shared" si="516"/>
        <v>100</v>
      </c>
      <c r="BW228" s="289"/>
      <c r="BX228" s="18">
        <f t="shared" si="517"/>
        <v>100</v>
      </c>
      <c r="BZ228" s="289"/>
      <c r="CA228" s="18">
        <f t="shared" si="518"/>
        <v>100</v>
      </c>
      <c r="CC228" s="289"/>
      <c r="CD228" s="18">
        <f t="shared" si="519"/>
        <v>100</v>
      </c>
      <c r="CF228" s="289"/>
      <c r="CG228" s="18">
        <f t="shared" si="520"/>
        <v>100</v>
      </c>
      <c r="CI228" s="289"/>
      <c r="CJ228" s="18">
        <f t="shared" si="521"/>
        <v>100</v>
      </c>
      <c r="CM228" s="18">
        <f t="shared" si="522"/>
        <v>100</v>
      </c>
      <c r="CO228" s="327"/>
      <c r="CP228" s="18">
        <f t="shared" si="505"/>
        <v>100</v>
      </c>
      <c r="CS228" s="18">
        <f t="shared" si="506"/>
        <v>100</v>
      </c>
      <c r="CV228" s="18">
        <f t="shared" si="507"/>
        <v>100</v>
      </c>
      <c r="CY228" s="18">
        <f t="shared" si="508"/>
        <v>100</v>
      </c>
      <c r="DA228" s="289">
        <v>0</v>
      </c>
    </row>
    <row r="229" spans="1:107" outlineLevel="1">
      <c r="A229" s="16" t="s">
        <v>354</v>
      </c>
      <c r="B229" s="66" t="s">
        <v>208</v>
      </c>
      <c r="C229" s="67" t="s">
        <v>209</v>
      </c>
      <c r="D229" s="40"/>
      <c r="E229" s="65"/>
      <c r="F229" s="40"/>
      <c r="G229" s="65"/>
      <c r="H229" s="40"/>
      <c r="I229" s="40"/>
      <c r="J229" s="17"/>
      <c r="K229" t="s">
        <v>336</v>
      </c>
      <c r="L229" s="134">
        <v>2000</v>
      </c>
      <c r="M229" s="20" t="e">
        <f t="shared" si="509"/>
        <v>#DIV/0!</v>
      </c>
      <c r="N229" s="20" t="e">
        <f>L229/I229-1</f>
        <v>#DIV/0!</v>
      </c>
      <c r="Q229" s="134">
        <f>L229</f>
        <v>2000</v>
      </c>
      <c r="R229" s="18">
        <v>0</v>
      </c>
      <c r="S229" s="134">
        <f>Q229</f>
        <v>2000</v>
      </c>
      <c r="T229" s="18">
        <f t="shared" si="510"/>
        <v>0</v>
      </c>
      <c r="U229" s="19">
        <f t="shared" si="511"/>
        <v>0</v>
      </c>
      <c r="Y229" s="134">
        <v>2000</v>
      </c>
      <c r="AA229" s="134">
        <v>950</v>
      </c>
      <c r="AB229" s="216">
        <f t="shared" si="512"/>
        <v>-1050</v>
      </c>
      <c r="AC229" s="219">
        <f t="shared" si="513"/>
        <v>-1050</v>
      </c>
      <c r="AD229" s="219"/>
      <c r="AE229" s="134">
        <v>950</v>
      </c>
      <c r="AF229" s="213"/>
      <c r="AH229" s="18">
        <v>471</v>
      </c>
      <c r="AI229" s="20">
        <f t="shared" si="514"/>
        <v>0.4957894736842105</v>
      </c>
      <c r="AX229" s="18"/>
      <c r="BD229" s="18"/>
      <c r="BG229" s="18"/>
      <c r="BM229" s="207">
        <v>700</v>
      </c>
      <c r="BQ229" s="289"/>
      <c r="BR229" s="18">
        <f t="shared" si="515"/>
        <v>700</v>
      </c>
      <c r="BT229" s="289"/>
      <c r="BU229" s="18">
        <f t="shared" si="516"/>
        <v>700</v>
      </c>
      <c r="BW229" s="289"/>
      <c r="BX229" s="18">
        <f t="shared" si="517"/>
        <v>700</v>
      </c>
      <c r="BZ229" s="289"/>
      <c r="CA229" s="18">
        <f t="shared" si="518"/>
        <v>700</v>
      </c>
      <c r="CC229" s="289"/>
      <c r="CD229" s="18">
        <f t="shared" si="519"/>
        <v>700</v>
      </c>
      <c r="CF229" s="289"/>
      <c r="CG229" s="18">
        <f t="shared" si="520"/>
        <v>700</v>
      </c>
      <c r="CI229" s="289"/>
      <c r="CJ229" s="18">
        <f t="shared" si="521"/>
        <v>700</v>
      </c>
      <c r="CM229" s="18">
        <f t="shared" si="522"/>
        <v>700</v>
      </c>
      <c r="CP229" s="18">
        <f t="shared" si="505"/>
        <v>700</v>
      </c>
      <c r="CS229" s="18">
        <f t="shared" si="506"/>
        <v>700</v>
      </c>
      <c r="CV229" s="18">
        <f t="shared" si="507"/>
        <v>700</v>
      </c>
      <c r="CY229" s="18">
        <f t="shared" si="508"/>
        <v>700</v>
      </c>
      <c r="DA229" s="289">
        <v>579</v>
      </c>
    </row>
    <row r="230" spans="1:107" outlineLevel="1">
      <c r="A230" s="16" t="s">
        <v>354</v>
      </c>
      <c r="B230" s="66" t="s">
        <v>150</v>
      </c>
      <c r="C230" s="67" t="s">
        <v>151</v>
      </c>
      <c r="D230" s="40"/>
      <c r="E230" s="65"/>
      <c r="F230" s="40"/>
      <c r="G230" s="65"/>
      <c r="H230" s="40"/>
      <c r="I230" s="40"/>
      <c r="J230" s="17"/>
      <c r="K230" t="s">
        <v>336</v>
      </c>
      <c r="L230" s="134">
        <v>2000</v>
      </c>
      <c r="M230" s="20" t="e">
        <f t="shared" si="509"/>
        <v>#DIV/0!</v>
      </c>
      <c r="N230" s="20" t="e">
        <f>L230/I230-1</f>
        <v>#DIV/0!</v>
      </c>
      <c r="Q230" s="134">
        <f>L230</f>
        <v>2000</v>
      </c>
      <c r="R230" s="18">
        <v>0</v>
      </c>
      <c r="S230" s="134">
        <f>Q230</f>
        <v>2000</v>
      </c>
      <c r="T230" s="18">
        <f t="shared" si="510"/>
        <v>0</v>
      </c>
      <c r="U230" s="19">
        <f t="shared" si="511"/>
        <v>0</v>
      </c>
      <c r="Y230" s="134">
        <v>2000</v>
      </c>
      <c r="AA230" s="134">
        <v>1100</v>
      </c>
      <c r="AB230" s="216">
        <f t="shared" si="512"/>
        <v>-900</v>
      </c>
      <c r="AC230" s="219">
        <f t="shared" si="513"/>
        <v>-900</v>
      </c>
      <c r="AD230" s="219"/>
      <c r="AE230" s="134">
        <v>1100</v>
      </c>
      <c r="AF230" s="213"/>
      <c r="AH230" s="18">
        <v>1044</v>
      </c>
      <c r="AI230" s="20">
        <f t="shared" si="514"/>
        <v>0.9490909090909091</v>
      </c>
      <c r="AX230" s="18"/>
      <c r="BD230" s="18"/>
      <c r="BG230" s="18"/>
      <c r="BM230" s="207">
        <v>2000</v>
      </c>
      <c r="BQ230" s="289"/>
      <c r="BR230" s="18">
        <f t="shared" si="515"/>
        <v>2000</v>
      </c>
      <c r="BT230" s="289"/>
      <c r="BU230" s="18">
        <f t="shared" si="516"/>
        <v>2000</v>
      </c>
      <c r="BW230" s="289"/>
      <c r="BX230" s="18">
        <f t="shared" si="517"/>
        <v>2000</v>
      </c>
      <c r="BZ230" s="289"/>
      <c r="CA230" s="18">
        <f t="shared" si="518"/>
        <v>2000</v>
      </c>
      <c r="CC230" s="289"/>
      <c r="CD230" s="18">
        <f t="shared" si="519"/>
        <v>2000</v>
      </c>
      <c r="CF230" s="289"/>
      <c r="CG230" s="18">
        <f t="shared" si="520"/>
        <v>2000</v>
      </c>
      <c r="CI230" s="289"/>
      <c r="CJ230" s="18">
        <f t="shared" si="521"/>
        <v>2000</v>
      </c>
      <c r="CM230" s="18">
        <f t="shared" si="522"/>
        <v>2000</v>
      </c>
      <c r="CP230" s="18">
        <f t="shared" si="505"/>
        <v>2000</v>
      </c>
      <c r="CS230" s="18">
        <f t="shared" si="506"/>
        <v>2000</v>
      </c>
      <c r="CV230" s="18">
        <f t="shared" si="507"/>
        <v>2000</v>
      </c>
      <c r="CY230" s="18">
        <f t="shared" si="508"/>
        <v>2000</v>
      </c>
      <c r="DA230" s="289">
        <v>960</v>
      </c>
    </row>
    <row r="231" spans="1:107" outlineLevel="1">
      <c r="A231" s="233" t="s">
        <v>354</v>
      </c>
      <c r="B231" s="232" t="s">
        <v>46</v>
      </c>
      <c r="C231" s="67" t="s">
        <v>523</v>
      </c>
      <c r="D231" s="40"/>
      <c r="E231" s="65"/>
      <c r="F231" s="40"/>
      <c r="G231" s="65"/>
      <c r="H231" s="40"/>
      <c r="I231" s="40"/>
      <c r="J231" s="17"/>
      <c r="M231" s="20"/>
      <c r="N231" s="20"/>
      <c r="U231" s="19"/>
      <c r="Y231" s="134"/>
      <c r="AB231" s="216"/>
      <c r="AC231" s="219"/>
      <c r="AD231" s="219"/>
      <c r="AF231" s="213"/>
      <c r="AH231" s="18"/>
      <c r="AI231" s="20"/>
      <c r="AX231" s="18"/>
      <c r="BD231" s="18"/>
      <c r="BG231" s="18"/>
      <c r="BM231" s="290"/>
      <c r="BQ231" s="290"/>
      <c r="BR231" s="290"/>
      <c r="BT231" s="290"/>
      <c r="BU231" s="290"/>
      <c r="BW231" s="290"/>
      <c r="BX231" s="290"/>
      <c r="BZ231" s="290"/>
      <c r="CA231" s="290"/>
      <c r="CC231" s="290"/>
      <c r="CD231" s="290"/>
      <c r="CF231" s="290"/>
      <c r="CG231" s="290"/>
      <c r="CI231" s="290"/>
      <c r="CJ231" s="290"/>
      <c r="CM231" s="290"/>
      <c r="CO231" s="327"/>
      <c r="CP231" s="290"/>
      <c r="CR231" s="327"/>
      <c r="CS231" s="290"/>
      <c r="CU231" s="327"/>
      <c r="CV231" s="290"/>
      <c r="CX231" s="327"/>
      <c r="CY231" s="290"/>
      <c r="DA231" s="327"/>
      <c r="DC231" s="327"/>
    </row>
    <row r="232" spans="1:107" outlineLevel="1">
      <c r="A232" s="16" t="s">
        <v>588</v>
      </c>
      <c r="B232" s="404" t="s">
        <v>185</v>
      </c>
      <c r="C232" s="67" t="s">
        <v>186</v>
      </c>
      <c r="D232" s="40"/>
      <c r="E232" s="65"/>
      <c r="F232" s="40"/>
      <c r="G232" s="65"/>
      <c r="H232" s="40"/>
      <c r="I232" s="40"/>
      <c r="J232" s="17"/>
      <c r="M232" s="20"/>
      <c r="N232" s="20"/>
      <c r="U232" s="19"/>
      <c r="Y232" s="134"/>
      <c r="AB232" s="216"/>
      <c r="AC232" s="219"/>
      <c r="AD232" s="219"/>
      <c r="AF232" s="213"/>
      <c r="AH232" s="18"/>
      <c r="AI232" s="20"/>
      <c r="AX232" s="18"/>
      <c r="BD232" s="18"/>
      <c r="BG232" s="18"/>
      <c r="BM232" s="290"/>
      <c r="BQ232" s="290"/>
      <c r="BR232" s="290"/>
      <c r="BT232" s="290"/>
      <c r="BU232" s="290"/>
      <c r="BW232" s="290"/>
      <c r="BX232" s="290"/>
      <c r="BZ232" s="290"/>
      <c r="CA232" s="290"/>
      <c r="CC232" s="290"/>
      <c r="CD232" s="290"/>
      <c r="CF232" s="290"/>
      <c r="CG232" s="290"/>
      <c r="CI232" s="290"/>
      <c r="CJ232" s="290"/>
      <c r="CM232" s="290"/>
      <c r="CO232" s="327"/>
      <c r="CP232" s="290"/>
      <c r="CR232" s="327"/>
      <c r="CS232" s="290"/>
      <c r="CU232" s="327"/>
      <c r="CV232" s="290"/>
      <c r="CX232" s="327"/>
      <c r="CY232" s="290"/>
      <c r="DA232" s="327"/>
      <c r="DC232" s="327">
        <v>2000</v>
      </c>
    </row>
    <row r="233" spans="1:107" outlineLevel="1">
      <c r="A233" s="16" t="s">
        <v>588</v>
      </c>
      <c r="B233" s="66" t="s">
        <v>144</v>
      </c>
      <c r="C233" s="67" t="s">
        <v>145</v>
      </c>
      <c r="D233" s="40"/>
      <c r="E233" s="65"/>
      <c r="F233" s="40"/>
      <c r="G233" s="65"/>
      <c r="H233" s="40"/>
      <c r="I233" s="40"/>
      <c r="J233" s="17"/>
      <c r="M233" s="20"/>
      <c r="N233" s="20"/>
      <c r="U233" s="19"/>
      <c r="Y233" s="134"/>
      <c r="AB233" s="216"/>
      <c r="AC233" s="219"/>
      <c r="AD233" s="219"/>
      <c r="AF233" s="213"/>
      <c r="AH233" s="18"/>
      <c r="AI233" s="20"/>
      <c r="AX233" s="18"/>
      <c r="BD233" s="18"/>
      <c r="BG233" s="18"/>
      <c r="BM233" s="290"/>
      <c r="BQ233" s="290"/>
      <c r="BR233" s="290"/>
      <c r="BT233" s="290"/>
      <c r="BU233" s="290"/>
      <c r="BW233" s="290"/>
      <c r="BX233" s="290"/>
      <c r="BZ233" s="290"/>
      <c r="CA233" s="290"/>
      <c r="CC233" s="290"/>
      <c r="CD233" s="290"/>
      <c r="CF233" s="290"/>
      <c r="CG233" s="290"/>
      <c r="CI233" s="290"/>
      <c r="CJ233" s="290"/>
      <c r="CM233" s="290"/>
      <c r="CO233" s="327"/>
      <c r="CP233" s="290"/>
      <c r="CR233" s="327"/>
      <c r="CS233" s="290"/>
      <c r="CU233" s="327"/>
      <c r="CV233" s="290"/>
      <c r="CX233" s="327"/>
      <c r="CY233" s="290"/>
      <c r="DA233" s="327"/>
      <c r="DC233" s="327">
        <v>10000</v>
      </c>
    </row>
    <row r="234" spans="1:107" outlineLevel="1">
      <c r="A234" s="16" t="s">
        <v>588</v>
      </c>
      <c r="B234" s="66" t="s">
        <v>222</v>
      </c>
      <c r="C234" s="67" t="s">
        <v>223</v>
      </c>
      <c r="D234" s="40"/>
      <c r="E234" s="65"/>
      <c r="F234" s="40"/>
      <c r="G234" s="65"/>
      <c r="H234" s="40"/>
      <c r="I234" s="40"/>
      <c r="J234" s="17"/>
      <c r="M234" s="20"/>
      <c r="N234" s="20"/>
      <c r="U234" s="19"/>
      <c r="Y234" s="134"/>
      <c r="AB234" s="216"/>
      <c r="AC234" s="219"/>
      <c r="AD234" s="219"/>
      <c r="AF234" s="213"/>
      <c r="AH234" s="18"/>
      <c r="AI234" s="20"/>
      <c r="AX234" s="18"/>
      <c r="BD234" s="18"/>
      <c r="BG234" s="18"/>
      <c r="BM234" s="290"/>
      <c r="BQ234" s="290"/>
      <c r="BR234" s="290"/>
      <c r="BT234" s="290"/>
      <c r="BU234" s="290"/>
      <c r="BW234" s="290"/>
      <c r="BX234" s="290"/>
      <c r="BZ234" s="290"/>
      <c r="CA234" s="290"/>
      <c r="CC234" s="290"/>
      <c r="CD234" s="290"/>
      <c r="CF234" s="290"/>
      <c r="CG234" s="290"/>
      <c r="CI234" s="290"/>
      <c r="CJ234" s="290"/>
      <c r="CM234" s="290"/>
      <c r="CO234" s="327"/>
      <c r="CP234" s="290"/>
      <c r="CR234" s="327"/>
      <c r="CS234" s="290"/>
      <c r="CU234" s="327"/>
      <c r="CV234" s="290"/>
      <c r="CX234" s="327"/>
      <c r="CY234" s="290"/>
      <c r="DA234" s="327"/>
      <c r="DC234" s="327">
        <v>500</v>
      </c>
    </row>
    <row r="235" spans="1:107" outlineLevel="1">
      <c r="A235" s="16" t="s">
        <v>588</v>
      </c>
      <c r="B235" s="66" t="s">
        <v>208</v>
      </c>
      <c r="C235" s="67" t="s">
        <v>209</v>
      </c>
      <c r="D235" s="40"/>
      <c r="E235" s="65"/>
      <c r="F235" s="40"/>
      <c r="G235" s="65"/>
      <c r="H235" s="40"/>
      <c r="I235" s="40"/>
      <c r="J235" s="17"/>
      <c r="M235" s="20"/>
      <c r="N235" s="20"/>
      <c r="U235" s="19"/>
      <c r="Y235" s="134"/>
      <c r="AB235" s="216"/>
      <c r="AC235" s="219"/>
      <c r="AD235" s="219"/>
      <c r="AF235" s="213"/>
      <c r="AH235" s="18"/>
      <c r="AI235" s="20"/>
      <c r="AX235" s="18"/>
      <c r="BD235" s="18"/>
      <c r="BG235" s="18"/>
      <c r="BM235" s="290"/>
      <c r="BQ235" s="290"/>
      <c r="BR235" s="290"/>
      <c r="BT235" s="290"/>
      <c r="BU235" s="290"/>
      <c r="BW235" s="290"/>
      <c r="BX235" s="290"/>
      <c r="BZ235" s="290"/>
      <c r="CA235" s="290"/>
      <c r="CC235" s="290"/>
      <c r="CD235" s="290"/>
      <c r="CF235" s="290"/>
      <c r="CG235" s="290"/>
      <c r="CI235" s="290"/>
      <c r="CJ235" s="290"/>
      <c r="CM235" s="290"/>
      <c r="CO235" s="327"/>
      <c r="CP235" s="290"/>
      <c r="CR235" s="327"/>
      <c r="CS235" s="290"/>
      <c r="CU235" s="327"/>
      <c r="CV235" s="290"/>
      <c r="CX235" s="327"/>
      <c r="CY235" s="290"/>
      <c r="DA235" s="327"/>
      <c r="DC235" s="327">
        <v>1500</v>
      </c>
    </row>
    <row r="236" spans="1:107" outlineLevel="1">
      <c r="A236" s="16" t="s">
        <v>588</v>
      </c>
      <c r="B236" s="66" t="s">
        <v>150</v>
      </c>
      <c r="C236" s="67" t="s">
        <v>151</v>
      </c>
      <c r="D236" s="40"/>
      <c r="E236" s="65"/>
      <c r="F236" s="40"/>
      <c r="G236" s="65"/>
      <c r="H236" s="40"/>
      <c r="I236" s="40"/>
      <c r="J236" s="17"/>
      <c r="M236" s="20"/>
      <c r="N236" s="20"/>
      <c r="U236" s="19"/>
      <c r="Y236" s="134"/>
      <c r="AB236" s="216"/>
      <c r="AC236" s="219"/>
      <c r="AD236" s="219"/>
      <c r="AF236" s="213"/>
      <c r="AH236" s="18"/>
      <c r="AI236" s="20"/>
      <c r="AX236" s="18"/>
      <c r="BD236" s="18"/>
      <c r="BG236" s="18"/>
      <c r="BM236" s="290"/>
      <c r="BQ236" s="290"/>
      <c r="BR236" s="290"/>
      <c r="BT236" s="290"/>
      <c r="BU236" s="290"/>
      <c r="BW236" s="290"/>
      <c r="BX236" s="290"/>
      <c r="BZ236" s="290"/>
      <c r="CA236" s="290"/>
      <c r="CC236" s="290"/>
      <c r="CD236" s="290"/>
      <c r="CF236" s="290"/>
      <c r="CG236" s="290"/>
      <c r="CI236" s="290"/>
      <c r="CJ236" s="290"/>
      <c r="CM236" s="290"/>
      <c r="CO236" s="327"/>
      <c r="CP236" s="290"/>
      <c r="CR236" s="327"/>
      <c r="CS236" s="290"/>
      <c r="CU236" s="327"/>
      <c r="CV236" s="290"/>
      <c r="CX236" s="327"/>
      <c r="CY236" s="290"/>
      <c r="DA236" s="327"/>
      <c r="DC236" s="327">
        <v>2500</v>
      </c>
    </row>
    <row r="237" spans="1:107" ht="15.75" thickBot="1">
      <c r="A237" s="70" t="s">
        <v>587</v>
      </c>
      <c r="B237" s="71" t="s">
        <v>320</v>
      </c>
      <c r="C237" s="72" t="s">
        <v>589</v>
      </c>
      <c r="D237" s="73">
        <f>D213</f>
        <v>25000</v>
      </c>
      <c r="E237" s="74"/>
      <c r="F237" s="73">
        <f>F213</f>
        <v>54000</v>
      </c>
      <c r="G237" s="74"/>
      <c r="H237" s="73"/>
      <c r="I237" s="73">
        <f>I213</f>
        <v>13283</v>
      </c>
      <c r="J237" s="75"/>
      <c r="K237" s="76"/>
      <c r="L237" s="138">
        <f>SUM(L224:L230)</f>
        <v>19100</v>
      </c>
      <c r="M237" s="77">
        <f t="shared" si="509"/>
        <v>-0.64629629629629637</v>
      </c>
      <c r="N237" s="77">
        <f t="shared" ref="N237:N267" si="523">L237/I237-1</f>
        <v>0.43792817887525404</v>
      </c>
      <c r="Q237" s="138">
        <f>SUM(Q224:Q230)</f>
        <v>19100</v>
      </c>
      <c r="R237" s="138">
        <f>SUM(R224:R230)</f>
        <v>0</v>
      </c>
      <c r="S237" s="138">
        <f>SUM(S224:S230)</f>
        <v>19100</v>
      </c>
      <c r="T237" s="138">
        <f>SUM(T224:T230)</f>
        <v>0</v>
      </c>
      <c r="U237" s="175">
        <f t="shared" si="511"/>
        <v>0</v>
      </c>
      <c r="Y237" s="138">
        <f>SUM(Y224:Y230)</f>
        <v>24200</v>
      </c>
      <c r="AA237" s="138">
        <f>SUM(AA224:AA230)</f>
        <v>21600</v>
      </c>
      <c r="AB237" s="138">
        <f>SUM(AB224:AB230)</f>
        <v>-2600</v>
      </c>
      <c r="AE237" s="138">
        <f>SUM(AE224:AE230)</f>
        <v>21600</v>
      </c>
      <c r="AF237" s="213"/>
      <c r="AH237" s="138">
        <f>SUM(AH224:AH230)</f>
        <v>20466</v>
      </c>
      <c r="AI237" s="20">
        <f t="shared" si="514"/>
        <v>0.94750000000000001</v>
      </c>
      <c r="AK237" s="138">
        <f>SUM(AK215:AK221)</f>
        <v>26400</v>
      </c>
      <c r="AL237" s="229">
        <f>AK237/L237</f>
        <v>1.3821989528795811</v>
      </c>
      <c r="AM237" s="20">
        <f>AK237/AE237</f>
        <v>1.2222222222222223</v>
      </c>
      <c r="AN237" s="20">
        <f>AK237/AH237</f>
        <v>1.2899442978598652</v>
      </c>
      <c r="AS237" s="138">
        <f>SUM(AS215:AS221)</f>
        <v>26400</v>
      </c>
      <c r="AU237" s="138">
        <f>SUM(AU215:AU221)</f>
        <v>0</v>
      </c>
      <c r="AV237" s="138">
        <f>SUM(AV215:AV221)</f>
        <v>26400</v>
      </c>
      <c r="AX237" s="138">
        <f>SUM(AX215:AX221)</f>
        <v>0</v>
      </c>
      <c r="AY237" s="138">
        <f>SUM(AY215:AY221)</f>
        <v>26400</v>
      </c>
      <c r="BA237" s="138">
        <f>SUM(BA215:BA221)</f>
        <v>0</v>
      </c>
      <c r="BB237" s="138">
        <f>SUM(BB215:BB221)</f>
        <v>26400</v>
      </c>
      <c r="BD237" s="138">
        <f>SUM(BD215:BD221)</f>
        <v>4600</v>
      </c>
      <c r="BE237" s="138">
        <f>SUM(BE215:BE221)</f>
        <v>31000</v>
      </c>
      <c r="BG237" s="138">
        <f>SUM(BG215:BG221)</f>
        <v>0</v>
      </c>
      <c r="BH237" s="138">
        <f>SUM(BH215:BH221)</f>
        <v>31000</v>
      </c>
      <c r="BJ237" s="138">
        <f>SUM(BJ215:BJ221)</f>
        <v>16778</v>
      </c>
      <c r="BK237" s="280">
        <f t="shared" ref="BK237" si="524">BJ237/BH237</f>
        <v>0.54122580645161289</v>
      </c>
      <c r="BM237" s="138">
        <f>SUM(BM224:BM230)</f>
        <v>25800</v>
      </c>
      <c r="BN237" s="280">
        <f>BM237/BJ237</f>
        <v>1.537727977112886</v>
      </c>
      <c r="BO237" s="280">
        <f>BM237/BH237</f>
        <v>0.83225806451612905</v>
      </c>
      <c r="BQ237" s="138">
        <f>SUM(BQ224:BQ230)</f>
        <v>0</v>
      </c>
      <c r="BR237" s="138">
        <f>SUM(BR224:BR230)</f>
        <v>25800</v>
      </c>
      <c r="BT237" s="138">
        <f>SUM(BT224:BT230)</f>
        <v>0</v>
      </c>
      <c r="BU237" s="138">
        <f>SUM(BU224:BU230)</f>
        <v>25800</v>
      </c>
      <c r="BW237" s="138">
        <f>SUM(BW224:BW230)</f>
        <v>0</v>
      </c>
      <c r="BX237" s="138">
        <f>SUM(BX224:BX230)</f>
        <v>25800</v>
      </c>
      <c r="BZ237" s="138">
        <f>SUM(BZ224:BZ230)</f>
        <v>0</v>
      </c>
      <c r="CA237" s="138">
        <f>SUM(CA224:CA230)</f>
        <v>25800</v>
      </c>
      <c r="CC237" s="138">
        <f>SUM(CC224:CC230)</f>
        <v>0</v>
      </c>
      <c r="CD237" s="138">
        <f>SUM(CD224:CD230)</f>
        <v>25800</v>
      </c>
      <c r="CF237" s="138">
        <f>SUM(CF224:CF230)</f>
        <v>0</v>
      </c>
      <c r="CG237" s="138">
        <f>SUM(CG224:CG230)</f>
        <v>25800</v>
      </c>
      <c r="CI237" s="138">
        <f>SUM(CI224:CI230)</f>
        <v>0</v>
      </c>
      <c r="CJ237" s="138">
        <f>SUM(CJ224:CJ230)</f>
        <v>25800</v>
      </c>
      <c r="CL237" s="391">
        <f>SUM(CL224:CL230)</f>
        <v>-18000</v>
      </c>
      <c r="CM237" s="138">
        <f>SUM(CM224:CM230)</f>
        <v>7800</v>
      </c>
      <c r="CO237" s="138">
        <f>SUM(CO223:CO230)</f>
        <v>7800</v>
      </c>
      <c r="CP237" s="138">
        <f>SUM(CP223:CP230)</f>
        <v>15600</v>
      </c>
      <c r="CR237" s="138">
        <f>SUM(CR223:CR230)</f>
        <v>0</v>
      </c>
      <c r="CS237" s="138">
        <f>SUM(CS223:CS230)</f>
        <v>15600</v>
      </c>
      <c r="CU237" s="138">
        <f>SUM(CU223:CU230)</f>
        <v>0</v>
      </c>
      <c r="CV237" s="138">
        <f>SUM(CV223:CV230)</f>
        <v>15600</v>
      </c>
      <c r="CX237" s="138">
        <f>SUM(CX223:CX230)</f>
        <v>0</v>
      </c>
      <c r="CY237" s="138">
        <f>SUM(CY223:CY230)</f>
        <v>15600</v>
      </c>
      <c r="DA237" s="138">
        <f>SUM(DA223:DA230)</f>
        <v>11262</v>
      </c>
      <c r="DC237" s="138">
        <f>SUM(DC223:DC236)</f>
        <v>16500</v>
      </c>
    </row>
    <row r="238" spans="1:107" ht="15.75" outlineLevel="1" thickTop="1">
      <c r="A238" s="14" t="s">
        <v>78</v>
      </c>
      <c r="B238" s="14" t="s">
        <v>185</v>
      </c>
      <c r="C238" s="4" t="s">
        <v>186</v>
      </c>
      <c r="D238" s="52">
        <v>310000</v>
      </c>
      <c r="E238" s="37">
        <v>70.63</v>
      </c>
      <c r="F238" s="52">
        <v>310000</v>
      </c>
      <c r="G238" s="37">
        <v>70.63</v>
      </c>
      <c r="H238" s="56">
        <v>218968</v>
      </c>
      <c r="I238" s="40">
        <v>275000</v>
      </c>
      <c r="J238" s="17"/>
      <c r="K238" t="s">
        <v>336</v>
      </c>
      <c r="L238" s="134">
        <v>300000</v>
      </c>
      <c r="M238" s="20">
        <f t="shared" ref="M238:M267" si="525">L238/F238-1</f>
        <v>-3.2258064516129004E-2</v>
      </c>
      <c r="N238" s="20">
        <f t="shared" si="523"/>
        <v>9.0909090909090828E-2</v>
      </c>
      <c r="Q238" s="134">
        <v>300000</v>
      </c>
      <c r="R238" s="18">
        <v>111504</v>
      </c>
      <c r="S238" s="134">
        <v>260000</v>
      </c>
      <c r="T238" s="18">
        <f t="shared" ref="T238:T245" si="526">S238-Q238</f>
        <v>-40000</v>
      </c>
      <c r="U238" s="19">
        <f t="shared" ref="U238:U245" si="527">S238/Q238-1</f>
        <v>-0.1333333333333333</v>
      </c>
      <c r="Y238" s="134">
        <v>260000</v>
      </c>
      <c r="AA238" s="134">
        <v>260000</v>
      </c>
      <c r="AB238" s="216">
        <f t="shared" ref="AB238:AB268" si="528">AA238-Y238</f>
        <v>0</v>
      </c>
      <c r="AC238" s="219">
        <f t="shared" ref="AC238:AC268" si="529">AA238-Y238</f>
        <v>0</v>
      </c>
      <c r="AD238" s="219"/>
      <c r="AE238" s="134">
        <v>260000</v>
      </c>
      <c r="AF238" s="213"/>
      <c r="AH238" s="18">
        <v>242455</v>
      </c>
      <c r="AI238" s="20">
        <f t="shared" si="514"/>
        <v>0.93251923076923082</v>
      </c>
      <c r="AK238" s="134">
        <v>260000</v>
      </c>
      <c r="AR238" s="18"/>
      <c r="AS238" s="18">
        <f t="shared" ref="AS238:AS267" si="530">AR238+AK238</f>
        <v>260000</v>
      </c>
      <c r="AV238" s="18">
        <f t="shared" ref="AV238:AV267" si="531">AS238+AU238</f>
        <v>260000</v>
      </c>
      <c r="AX238" s="18"/>
      <c r="AY238" s="18">
        <f t="shared" ref="AY238:AY267" si="532">AV238+AX238</f>
        <v>260000</v>
      </c>
      <c r="BB238" s="18">
        <f t="shared" ref="BB238:BB267" si="533">AY238+BA238</f>
        <v>260000</v>
      </c>
      <c r="BD238" s="18">
        <v>15000</v>
      </c>
      <c r="BE238" s="18">
        <f t="shared" ref="BE238:BE267" si="534">BB238+BD238</f>
        <v>275000</v>
      </c>
      <c r="BG238" s="18"/>
      <c r="BH238" s="18">
        <f t="shared" ref="BH238:BH267" si="535">BE238+BG238</f>
        <v>275000</v>
      </c>
      <c r="BJ238" s="18">
        <v>271252</v>
      </c>
      <c r="BK238" s="279">
        <f t="shared" ref="BK238" si="536">BJ238/BH238</f>
        <v>0.98637090909090908</v>
      </c>
      <c r="BM238" s="289">
        <f>(12*20000+10000)</f>
        <v>250000</v>
      </c>
      <c r="BN238" s="279">
        <f t="shared" ref="BN238" si="537">BM238/BJ238</f>
        <v>0.92165219058292658</v>
      </c>
      <c r="BO238" s="279">
        <f t="shared" ref="BO238" si="538">BM238/BH238</f>
        <v>0.90909090909090906</v>
      </c>
      <c r="BQ238" s="289"/>
      <c r="BR238" s="18">
        <f t="shared" ref="BR238:BR244" si="539">BM238+BQ238</f>
        <v>250000</v>
      </c>
      <c r="BT238" s="289"/>
      <c r="BU238" s="18">
        <f t="shared" ref="BU238:BU264" si="540">BR238+BT238</f>
        <v>250000</v>
      </c>
      <c r="BW238" s="289"/>
      <c r="BX238" s="18">
        <f t="shared" ref="BX238:BX264" si="541">BU238+BW238</f>
        <v>250000</v>
      </c>
      <c r="BZ238" s="289"/>
      <c r="CA238" s="18">
        <f t="shared" ref="CA238:CA264" si="542">BX238+BZ238</f>
        <v>250000</v>
      </c>
      <c r="CC238" s="289"/>
      <c r="CD238" s="18">
        <f t="shared" ref="CD238:CD264" si="543">CA238+CC238</f>
        <v>250000</v>
      </c>
      <c r="CF238" s="289"/>
      <c r="CG238" s="18">
        <f t="shared" ref="CG238:CG264" si="544">CD238+CF238</f>
        <v>250000</v>
      </c>
      <c r="CI238" s="289"/>
      <c r="CJ238" s="18">
        <f t="shared" ref="CJ238:CJ264" si="545">CG238+CI238</f>
        <v>250000</v>
      </c>
      <c r="CL238" s="327">
        <v>-50000</v>
      </c>
      <c r="CM238" s="18">
        <f t="shared" ref="CM238:CM264" si="546">CJ238+CL238</f>
        <v>200000</v>
      </c>
      <c r="CO238" s="327">
        <v>50000</v>
      </c>
      <c r="CP238" s="18">
        <f t="shared" ref="CP238:CP264" si="547">CM238+CO238</f>
        <v>250000</v>
      </c>
      <c r="CR238" s="327"/>
      <c r="CS238" s="18">
        <f t="shared" ref="CS238:CS264" si="548">CP238+CR238</f>
        <v>250000</v>
      </c>
      <c r="CU238" s="327"/>
      <c r="CV238" s="18">
        <f t="shared" ref="CV238:CV264" si="549">CS238+CU238</f>
        <v>250000</v>
      </c>
      <c r="CX238" s="327"/>
      <c r="CY238" s="18">
        <f t="shared" ref="CY238:CY264" si="550">CV238+CX238</f>
        <v>250000</v>
      </c>
      <c r="DA238" s="327">
        <v>246882</v>
      </c>
      <c r="DC238" s="327">
        <v>380000</v>
      </c>
    </row>
    <row r="239" spans="1:107" outlineLevel="1">
      <c r="A239" s="14" t="s">
        <v>78</v>
      </c>
      <c r="B239" s="14" t="s">
        <v>144</v>
      </c>
      <c r="C239" s="4" t="s">
        <v>145</v>
      </c>
      <c r="D239" s="52">
        <v>35000</v>
      </c>
      <c r="E239" s="37">
        <v>5.71</v>
      </c>
      <c r="F239" s="52">
        <v>35000</v>
      </c>
      <c r="G239" s="37">
        <v>5.71</v>
      </c>
      <c r="H239" s="56">
        <v>2000</v>
      </c>
      <c r="I239" s="40">
        <v>2000</v>
      </c>
      <c r="J239" s="17"/>
      <c r="L239" s="134">
        <v>5000</v>
      </c>
      <c r="M239" s="20">
        <f t="shared" si="525"/>
        <v>-0.85714285714285721</v>
      </c>
      <c r="N239" s="20">
        <f t="shared" si="523"/>
        <v>1.5</v>
      </c>
      <c r="Q239" s="134">
        <v>5000</v>
      </c>
      <c r="R239" s="18">
        <v>0</v>
      </c>
      <c r="S239" s="134">
        <v>0</v>
      </c>
      <c r="T239" s="18">
        <f t="shared" si="526"/>
        <v>-5000</v>
      </c>
      <c r="U239" s="19">
        <f t="shared" si="527"/>
        <v>-1</v>
      </c>
      <c r="Y239" s="134">
        <v>0</v>
      </c>
      <c r="AA239" s="134">
        <v>0</v>
      </c>
      <c r="AB239" s="216">
        <f t="shared" si="528"/>
        <v>0</v>
      </c>
      <c r="AC239" s="219">
        <f t="shared" si="529"/>
        <v>0</v>
      </c>
      <c r="AD239" s="219"/>
      <c r="AE239" s="134">
        <v>0</v>
      </c>
      <c r="AF239" s="213"/>
      <c r="AH239" s="18">
        <v>0</v>
      </c>
      <c r="AK239" s="134">
        <v>0</v>
      </c>
      <c r="AR239" s="18"/>
      <c r="AS239" s="18">
        <f t="shared" si="530"/>
        <v>0</v>
      </c>
      <c r="AV239" s="18">
        <f t="shared" si="531"/>
        <v>0</v>
      </c>
      <c r="AX239" s="18"/>
      <c r="AY239" s="18">
        <f t="shared" si="532"/>
        <v>0</v>
      </c>
      <c r="BB239" s="18">
        <f t="shared" si="533"/>
        <v>0</v>
      </c>
      <c r="BD239" s="18"/>
      <c r="BE239" s="18">
        <f t="shared" si="534"/>
        <v>0</v>
      </c>
      <c r="BG239" s="18"/>
      <c r="BH239" s="18">
        <f t="shared" si="535"/>
        <v>0</v>
      </c>
      <c r="BM239" s="289">
        <f>+(12*2000)</f>
        <v>24000</v>
      </c>
      <c r="BN239" s="279" t="e">
        <f t="shared" ref="BN239" si="551">BM239/BJ239</f>
        <v>#DIV/0!</v>
      </c>
      <c r="BO239" s="279" t="e">
        <f t="shared" ref="BO239" si="552">BM239/BH239</f>
        <v>#DIV/0!</v>
      </c>
      <c r="BQ239" s="289"/>
      <c r="BR239" s="18">
        <f t="shared" si="539"/>
        <v>24000</v>
      </c>
      <c r="BT239" s="289"/>
      <c r="BU239" s="18">
        <f t="shared" si="540"/>
        <v>24000</v>
      </c>
      <c r="BW239" s="289">
        <v>40000</v>
      </c>
      <c r="BX239" s="18">
        <f t="shared" si="541"/>
        <v>64000</v>
      </c>
      <c r="BZ239" s="289"/>
      <c r="CA239" s="18">
        <f t="shared" si="542"/>
        <v>64000</v>
      </c>
      <c r="CC239" s="289"/>
      <c r="CD239" s="18">
        <f t="shared" si="543"/>
        <v>64000</v>
      </c>
      <c r="CF239" s="289"/>
      <c r="CG239" s="18">
        <f t="shared" si="544"/>
        <v>64000</v>
      </c>
      <c r="CI239" s="289"/>
      <c r="CJ239" s="18">
        <f t="shared" si="545"/>
        <v>64000</v>
      </c>
      <c r="CM239" s="18">
        <f t="shared" si="546"/>
        <v>64000</v>
      </c>
      <c r="CO239" s="327"/>
      <c r="CP239" s="18">
        <f t="shared" si="547"/>
        <v>64000</v>
      </c>
      <c r="CR239" s="327"/>
      <c r="CS239" s="18">
        <f t="shared" si="548"/>
        <v>64000</v>
      </c>
      <c r="CU239" s="349">
        <v>-8000</v>
      </c>
      <c r="CV239" s="18">
        <f t="shared" si="549"/>
        <v>56000</v>
      </c>
      <c r="CX239" s="349"/>
      <c r="CY239" s="18">
        <f t="shared" si="550"/>
        <v>56000</v>
      </c>
      <c r="DA239" s="327">
        <v>55142</v>
      </c>
      <c r="DC239" s="327">
        <v>60000</v>
      </c>
    </row>
    <row r="240" spans="1:107" outlineLevel="1">
      <c r="A240" s="14" t="s">
        <v>78</v>
      </c>
      <c r="B240" s="14" t="s">
        <v>187</v>
      </c>
      <c r="C240" s="4" t="s">
        <v>188</v>
      </c>
      <c r="D240" s="52">
        <v>68000</v>
      </c>
      <c r="E240" s="37">
        <v>72.09</v>
      </c>
      <c r="F240" s="52">
        <v>68000</v>
      </c>
      <c r="G240" s="37">
        <v>72.09</v>
      </c>
      <c r="H240" s="56">
        <v>49024</v>
      </c>
      <c r="I240" s="40">
        <v>61000</v>
      </c>
      <c r="J240" s="17"/>
      <c r="K240" t="s">
        <v>336</v>
      </c>
      <c r="L240" s="134">
        <v>65000</v>
      </c>
      <c r="M240" s="20">
        <f t="shared" si="525"/>
        <v>-4.4117647058823484E-2</v>
      </c>
      <c r="N240" s="20">
        <f t="shared" si="523"/>
        <v>6.5573770491803351E-2</v>
      </c>
      <c r="Q240" s="134">
        <v>65000</v>
      </c>
      <c r="R240" s="18">
        <v>24682</v>
      </c>
      <c r="S240" s="134">
        <v>50000</v>
      </c>
      <c r="T240" s="18">
        <f t="shared" si="526"/>
        <v>-15000</v>
      </c>
      <c r="U240" s="19">
        <f t="shared" si="527"/>
        <v>-0.23076923076923073</v>
      </c>
      <c r="Y240" s="134">
        <v>50000</v>
      </c>
      <c r="AA240" s="134">
        <v>51000</v>
      </c>
      <c r="AB240" s="216">
        <f t="shared" si="528"/>
        <v>1000</v>
      </c>
      <c r="AC240" s="219">
        <f t="shared" si="529"/>
        <v>1000</v>
      </c>
      <c r="AD240" s="219"/>
      <c r="AE240" s="134">
        <v>53100</v>
      </c>
      <c r="AF240" s="213">
        <f>AE240-AA240</f>
        <v>2100</v>
      </c>
      <c r="AH240" s="18">
        <v>53095</v>
      </c>
      <c r="AI240" s="20">
        <f t="shared" ref="AI240:AI242" si="553">AH240/AE240</f>
        <v>0.99990583804143129</v>
      </c>
      <c r="AK240" s="134">
        <v>55000</v>
      </c>
      <c r="AR240" s="18"/>
      <c r="AS240" s="18">
        <f t="shared" si="530"/>
        <v>55000</v>
      </c>
      <c r="AV240" s="18">
        <f t="shared" si="531"/>
        <v>55000</v>
      </c>
      <c r="AX240" s="18"/>
      <c r="AY240" s="18">
        <f t="shared" si="532"/>
        <v>55000</v>
      </c>
      <c r="BB240" s="18">
        <f t="shared" si="533"/>
        <v>55000</v>
      </c>
      <c r="BD240" s="18">
        <v>5000</v>
      </c>
      <c r="BE240" s="18">
        <f t="shared" si="534"/>
        <v>60000</v>
      </c>
      <c r="BG240" s="18">
        <v>1000</v>
      </c>
      <c r="BH240" s="18">
        <f t="shared" si="535"/>
        <v>61000</v>
      </c>
      <c r="BJ240" s="18">
        <v>60864</v>
      </c>
      <c r="BK240" s="279">
        <f t="shared" ref="BK240:BK242" si="554">BJ240/BH240</f>
        <v>0.9977704918032787</v>
      </c>
      <c r="BM240" s="289">
        <f>0.245*BM238</f>
        <v>61250</v>
      </c>
      <c r="BN240" s="279">
        <f t="shared" ref="BN240:BN242" si="555">BM240/BJ240</f>
        <v>1.0063420084121977</v>
      </c>
      <c r="BO240" s="279">
        <f t="shared" ref="BO240:BO242" si="556">BM240/BH240</f>
        <v>1.0040983606557377</v>
      </c>
      <c r="BQ240" s="289"/>
      <c r="BR240" s="18">
        <f t="shared" si="539"/>
        <v>61250</v>
      </c>
      <c r="BT240" s="289"/>
      <c r="BU240" s="18">
        <f t="shared" si="540"/>
        <v>61250</v>
      </c>
      <c r="BW240" s="289"/>
      <c r="BX240" s="18">
        <f t="shared" si="541"/>
        <v>61250</v>
      </c>
      <c r="BZ240" s="289"/>
      <c r="CA240" s="18">
        <f t="shared" si="542"/>
        <v>61250</v>
      </c>
      <c r="CC240" s="289"/>
      <c r="CD240" s="18">
        <f t="shared" si="543"/>
        <v>61250</v>
      </c>
      <c r="CF240" s="289"/>
      <c r="CG240" s="18">
        <f t="shared" si="544"/>
        <v>61250</v>
      </c>
      <c r="CI240" s="289"/>
      <c r="CJ240" s="18">
        <f t="shared" si="545"/>
        <v>61250</v>
      </c>
      <c r="CM240" s="18">
        <f t="shared" si="546"/>
        <v>61250</v>
      </c>
      <c r="CO240" s="327">
        <v>2700</v>
      </c>
      <c r="CP240" s="18">
        <f t="shared" si="547"/>
        <v>63950</v>
      </c>
      <c r="CR240" s="327"/>
      <c r="CS240" s="18">
        <f t="shared" si="548"/>
        <v>63950</v>
      </c>
      <c r="CU240" s="349">
        <v>7500</v>
      </c>
      <c r="CV240" s="18">
        <f t="shared" si="549"/>
        <v>71450</v>
      </c>
      <c r="CX240" s="349"/>
      <c r="CY240" s="18">
        <f t="shared" si="550"/>
        <v>71450</v>
      </c>
      <c r="DA240" s="327">
        <v>71085</v>
      </c>
      <c r="DC240" s="327">
        <f>DC238*0.25</f>
        <v>95000</v>
      </c>
    </row>
    <row r="241" spans="1:107" outlineLevel="1">
      <c r="A241" s="14" t="s">
        <v>78</v>
      </c>
      <c r="B241" s="14" t="s">
        <v>189</v>
      </c>
      <c r="C241" s="4" t="s">
        <v>190</v>
      </c>
      <c r="D241" s="52">
        <v>24000</v>
      </c>
      <c r="E241" s="37">
        <v>73.78</v>
      </c>
      <c r="F241" s="52">
        <v>24000</v>
      </c>
      <c r="G241" s="37">
        <v>73.78</v>
      </c>
      <c r="H241" s="56">
        <v>17708</v>
      </c>
      <c r="I241" s="40">
        <v>22000</v>
      </c>
      <c r="J241" s="17"/>
      <c r="K241" t="s">
        <v>336</v>
      </c>
      <c r="L241" s="134">
        <v>24000</v>
      </c>
      <c r="M241" s="20">
        <f t="shared" si="525"/>
        <v>0</v>
      </c>
      <c r="N241" s="20">
        <f t="shared" si="523"/>
        <v>9.0909090909090828E-2</v>
      </c>
      <c r="Q241" s="134">
        <v>24000</v>
      </c>
      <c r="R241" s="18">
        <v>8960</v>
      </c>
      <c r="S241" s="134">
        <v>21000</v>
      </c>
      <c r="T241" s="18">
        <f t="shared" si="526"/>
        <v>-3000</v>
      </c>
      <c r="U241" s="19">
        <f t="shared" si="527"/>
        <v>-0.125</v>
      </c>
      <c r="Y241" s="134">
        <v>21000</v>
      </c>
      <c r="AA241" s="134">
        <v>18500</v>
      </c>
      <c r="AB241" s="216">
        <f t="shared" si="528"/>
        <v>-2500</v>
      </c>
      <c r="AC241" s="219">
        <f t="shared" si="529"/>
        <v>-2500</v>
      </c>
      <c r="AD241" s="219"/>
      <c r="AE241" s="134">
        <v>19300</v>
      </c>
      <c r="AF241" s="213">
        <f>AE241-AA241</f>
        <v>800</v>
      </c>
      <c r="AH241" s="18">
        <v>19273</v>
      </c>
      <c r="AI241" s="20">
        <f t="shared" si="553"/>
        <v>0.99860103626943009</v>
      </c>
      <c r="AK241" s="134">
        <v>23000</v>
      </c>
      <c r="AR241" s="18"/>
      <c r="AS241" s="18">
        <f t="shared" si="530"/>
        <v>23000</v>
      </c>
      <c r="AV241" s="18">
        <f t="shared" si="531"/>
        <v>23000</v>
      </c>
      <c r="AX241" s="18"/>
      <c r="AY241" s="18">
        <f t="shared" si="532"/>
        <v>23000</v>
      </c>
      <c r="BB241" s="18">
        <f t="shared" si="533"/>
        <v>23000</v>
      </c>
      <c r="BD241" s="18">
        <v>2000</v>
      </c>
      <c r="BE241" s="18">
        <f t="shared" si="534"/>
        <v>25000</v>
      </c>
      <c r="BG241" s="18"/>
      <c r="BH241" s="18">
        <f t="shared" si="535"/>
        <v>25000</v>
      </c>
      <c r="BJ241" s="18">
        <v>19642</v>
      </c>
      <c r="BK241" s="279">
        <f t="shared" si="554"/>
        <v>0.78568000000000005</v>
      </c>
      <c r="BM241" s="289">
        <f>0.09*BM238</f>
        <v>22500</v>
      </c>
      <c r="BN241" s="279">
        <f t="shared" si="555"/>
        <v>1.1455045311068119</v>
      </c>
      <c r="BO241" s="279">
        <f t="shared" si="556"/>
        <v>0.9</v>
      </c>
      <c r="BQ241" s="289"/>
      <c r="BR241" s="18">
        <f t="shared" si="539"/>
        <v>22500</v>
      </c>
      <c r="BT241" s="289"/>
      <c r="BU241" s="18">
        <f t="shared" si="540"/>
        <v>22500</v>
      </c>
      <c r="BW241" s="289"/>
      <c r="BX241" s="18">
        <f t="shared" si="541"/>
        <v>22500</v>
      </c>
      <c r="BZ241" s="289"/>
      <c r="CA241" s="18">
        <f t="shared" si="542"/>
        <v>22500</v>
      </c>
      <c r="CC241" s="289"/>
      <c r="CD241" s="18">
        <f t="shared" si="543"/>
        <v>22500</v>
      </c>
      <c r="CF241" s="289"/>
      <c r="CG241" s="18">
        <f t="shared" si="544"/>
        <v>22500</v>
      </c>
      <c r="CI241" s="289"/>
      <c r="CJ241" s="18">
        <f t="shared" si="545"/>
        <v>22500</v>
      </c>
      <c r="CM241" s="18">
        <f t="shared" si="546"/>
        <v>22500</v>
      </c>
      <c r="CO241" s="327"/>
      <c r="CP241" s="18">
        <f t="shared" si="547"/>
        <v>22500</v>
      </c>
      <c r="CR241" s="327"/>
      <c r="CS241" s="18">
        <f t="shared" si="548"/>
        <v>22500</v>
      </c>
      <c r="CU241" s="349">
        <v>-1500</v>
      </c>
      <c r="CV241" s="18">
        <f t="shared" si="549"/>
        <v>21000</v>
      </c>
      <c r="CX241" s="349"/>
      <c r="CY241" s="18">
        <f t="shared" si="550"/>
        <v>21000</v>
      </c>
      <c r="DA241" s="327">
        <v>20930</v>
      </c>
      <c r="DC241" s="327">
        <f>DC238*0.1</f>
        <v>38000</v>
      </c>
    </row>
    <row r="242" spans="1:107" outlineLevel="1">
      <c r="A242" s="14" t="s">
        <v>78</v>
      </c>
      <c r="B242" s="14" t="s">
        <v>227</v>
      </c>
      <c r="C242" s="4" t="s">
        <v>228</v>
      </c>
      <c r="D242" s="52">
        <v>2500</v>
      </c>
      <c r="E242" s="37">
        <v>65.36</v>
      </c>
      <c r="F242" s="52">
        <v>2500</v>
      </c>
      <c r="G242" s="37">
        <v>65.36</v>
      </c>
      <c r="H242" s="56">
        <v>1634</v>
      </c>
      <c r="I242" s="40">
        <v>2500</v>
      </c>
      <c r="J242" s="17"/>
      <c r="K242" t="s">
        <v>336</v>
      </c>
      <c r="L242" s="134">
        <v>2500</v>
      </c>
      <c r="M242" s="20">
        <f t="shared" si="525"/>
        <v>0</v>
      </c>
      <c r="N242" s="20">
        <f t="shared" si="523"/>
        <v>0</v>
      </c>
      <c r="Q242" s="134">
        <v>2500</v>
      </c>
      <c r="R242" s="18">
        <v>884</v>
      </c>
      <c r="S242" s="134">
        <v>2000</v>
      </c>
      <c r="T242" s="18">
        <f t="shared" si="526"/>
        <v>-500</v>
      </c>
      <c r="U242" s="19">
        <f t="shared" si="527"/>
        <v>-0.19999999999999996</v>
      </c>
      <c r="Y242" s="134">
        <v>2000</v>
      </c>
      <c r="AA242" s="134">
        <v>2000</v>
      </c>
      <c r="AB242" s="216">
        <f t="shared" si="528"/>
        <v>0</v>
      </c>
      <c r="AC242" s="219">
        <f t="shared" si="529"/>
        <v>0</v>
      </c>
      <c r="AD242" s="219"/>
      <c r="AE242" s="134">
        <v>2000</v>
      </c>
      <c r="AF242" s="213"/>
      <c r="AH242" s="18">
        <v>1966</v>
      </c>
      <c r="AI242" s="20">
        <f t="shared" si="553"/>
        <v>0.98299999999999998</v>
      </c>
      <c r="AK242" s="134">
        <v>2000</v>
      </c>
      <c r="AR242" s="18"/>
      <c r="AS242" s="18">
        <f t="shared" si="530"/>
        <v>2000</v>
      </c>
      <c r="AV242" s="18">
        <f t="shared" si="531"/>
        <v>2000</v>
      </c>
      <c r="AX242" s="18"/>
      <c r="AY242" s="18">
        <f t="shared" si="532"/>
        <v>2000</v>
      </c>
      <c r="BB242" s="18">
        <f t="shared" si="533"/>
        <v>2000</v>
      </c>
      <c r="BD242" s="18">
        <v>1000</v>
      </c>
      <c r="BE242" s="18">
        <f t="shared" si="534"/>
        <v>3000</v>
      </c>
      <c r="BG242" s="18"/>
      <c r="BH242" s="18">
        <f t="shared" si="535"/>
        <v>3000</v>
      </c>
      <c r="BJ242" s="18">
        <v>2379</v>
      </c>
      <c r="BK242" s="279">
        <f t="shared" si="554"/>
        <v>0.79300000000000004</v>
      </c>
      <c r="BM242" s="289">
        <v>3000</v>
      </c>
      <c r="BN242" s="279">
        <f t="shared" si="555"/>
        <v>1.2610340479192939</v>
      </c>
      <c r="BO242" s="279">
        <f t="shared" si="556"/>
        <v>1</v>
      </c>
      <c r="BQ242" s="289"/>
      <c r="BR242" s="18">
        <f t="shared" si="539"/>
        <v>3000</v>
      </c>
      <c r="BT242" s="289"/>
      <c r="BU242" s="18">
        <f t="shared" si="540"/>
        <v>3000</v>
      </c>
      <c r="BW242" s="289"/>
      <c r="BX242" s="18">
        <f t="shared" si="541"/>
        <v>3000</v>
      </c>
      <c r="BZ242" s="289"/>
      <c r="CA242" s="18">
        <f t="shared" si="542"/>
        <v>3000</v>
      </c>
      <c r="CC242" s="289"/>
      <c r="CD242" s="18">
        <f t="shared" si="543"/>
        <v>3000</v>
      </c>
      <c r="CF242" s="289"/>
      <c r="CG242" s="18">
        <f t="shared" si="544"/>
        <v>3000</v>
      </c>
      <c r="CI242" s="289"/>
      <c r="CJ242" s="18">
        <f t="shared" si="545"/>
        <v>3000</v>
      </c>
      <c r="CM242" s="18">
        <f t="shared" si="546"/>
        <v>3000</v>
      </c>
      <c r="CO242" s="327"/>
      <c r="CP242" s="18">
        <f t="shared" si="547"/>
        <v>3000</v>
      </c>
      <c r="CR242" s="327"/>
      <c r="CS242" s="18">
        <f t="shared" si="548"/>
        <v>3000</v>
      </c>
      <c r="CU242" s="327"/>
      <c r="CV242" s="18">
        <f t="shared" si="549"/>
        <v>3000</v>
      </c>
      <c r="CX242" s="327"/>
      <c r="CY242" s="18">
        <f t="shared" si="550"/>
        <v>3000</v>
      </c>
      <c r="DA242" s="327">
        <v>2178</v>
      </c>
      <c r="DC242" s="327">
        <v>3000</v>
      </c>
    </row>
    <row r="243" spans="1:107" outlineLevel="1">
      <c r="A243" s="14" t="s">
        <v>78</v>
      </c>
      <c r="B243" s="14" t="s">
        <v>311</v>
      </c>
      <c r="C243" s="4" t="s">
        <v>312</v>
      </c>
      <c r="D243" s="52">
        <v>0</v>
      </c>
      <c r="E243" s="37">
        <v>0</v>
      </c>
      <c r="F243" s="52">
        <v>0</v>
      </c>
      <c r="G243" s="37">
        <v>0</v>
      </c>
      <c r="H243" s="56">
        <v>1029</v>
      </c>
      <c r="I243" s="40">
        <v>1029</v>
      </c>
      <c r="J243" s="17"/>
      <c r="L243" s="134">
        <v>1100</v>
      </c>
      <c r="M243" s="20" t="e">
        <f t="shared" si="525"/>
        <v>#DIV/0!</v>
      </c>
      <c r="N243" s="20">
        <f t="shared" si="523"/>
        <v>6.899902818270176E-2</v>
      </c>
      <c r="Q243" s="134">
        <v>1100</v>
      </c>
      <c r="R243" s="18">
        <v>0</v>
      </c>
      <c r="S243" s="134">
        <v>0</v>
      </c>
      <c r="T243" s="18">
        <f t="shared" si="526"/>
        <v>-1100</v>
      </c>
      <c r="U243" s="19">
        <f t="shared" si="527"/>
        <v>-1</v>
      </c>
      <c r="Y243" s="134">
        <v>0</v>
      </c>
      <c r="AA243" s="134">
        <v>0</v>
      </c>
      <c r="AB243" s="216">
        <f t="shared" si="528"/>
        <v>0</v>
      </c>
      <c r="AC243" s="219">
        <f t="shared" si="529"/>
        <v>0</v>
      </c>
      <c r="AD243" s="219"/>
      <c r="AE243" s="134">
        <v>0</v>
      </c>
      <c r="AF243" s="213"/>
      <c r="AH243" s="18">
        <v>0</v>
      </c>
      <c r="AR243" s="18"/>
      <c r="AS243" s="18">
        <f t="shared" si="530"/>
        <v>0</v>
      </c>
      <c r="AV243" s="18">
        <f t="shared" si="531"/>
        <v>0</v>
      </c>
      <c r="AX243" s="18"/>
      <c r="AY243" s="18">
        <f t="shared" si="532"/>
        <v>0</v>
      </c>
      <c r="BB243" s="18">
        <f t="shared" si="533"/>
        <v>0</v>
      </c>
      <c r="BD243" s="18"/>
      <c r="BE243" s="18">
        <f t="shared" si="534"/>
        <v>0</v>
      </c>
      <c r="BG243" s="18"/>
      <c r="BH243" s="18">
        <f t="shared" si="535"/>
        <v>0</v>
      </c>
      <c r="BQ243" s="289"/>
      <c r="BR243" s="18">
        <f t="shared" si="539"/>
        <v>0</v>
      </c>
      <c r="BT243" s="289"/>
      <c r="BU243" s="18">
        <f t="shared" si="540"/>
        <v>0</v>
      </c>
      <c r="BW243" s="289"/>
      <c r="BX243" s="18">
        <f t="shared" si="541"/>
        <v>0</v>
      </c>
      <c r="BZ243" s="289"/>
      <c r="CA243" s="18">
        <f t="shared" si="542"/>
        <v>0</v>
      </c>
      <c r="CC243" s="289"/>
      <c r="CD243" s="18">
        <f t="shared" si="543"/>
        <v>0</v>
      </c>
      <c r="CF243" s="289"/>
      <c r="CG243" s="18">
        <f t="shared" si="544"/>
        <v>0</v>
      </c>
      <c r="CI243" s="289"/>
      <c r="CJ243" s="18">
        <f t="shared" si="545"/>
        <v>0</v>
      </c>
      <c r="CM243" s="18">
        <f t="shared" si="546"/>
        <v>0</v>
      </c>
      <c r="CO243" s="327"/>
      <c r="CP243" s="18">
        <f t="shared" si="547"/>
        <v>0</v>
      </c>
      <c r="CR243" s="327"/>
      <c r="CS243" s="18">
        <f t="shared" si="548"/>
        <v>0</v>
      </c>
      <c r="CU243" s="327"/>
      <c r="CV243" s="18">
        <f t="shared" si="549"/>
        <v>0</v>
      </c>
      <c r="CX243" s="327"/>
      <c r="CY243" s="18">
        <f t="shared" si="550"/>
        <v>0</v>
      </c>
      <c r="DA243" s="327">
        <v>0</v>
      </c>
      <c r="DC243" s="327"/>
    </row>
    <row r="244" spans="1:107" outlineLevel="1">
      <c r="A244" s="217" t="s">
        <v>78</v>
      </c>
      <c r="B244" s="217" t="s">
        <v>444</v>
      </c>
      <c r="C244" s="4" t="s">
        <v>445</v>
      </c>
      <c r="D244" s="52"/>
      <c r="E244" s="37"/>
      <c r="F244" s="52"/>
      <c r="G244" s="37"/>
      <c r="H244" s="56"/>
      <c r="I244" s="40"/>
      <c r="J244" s="17"/>
      <c r="M244" s="20"/>
      <c r="N244" s="20"/>
      <c r="U244" s="19"/>
      <c r="Y244" s="134"/>
      <c r="AB244" s="216"/>
      <c r="AC244" s="219"/>
      <c r="AD244" s="219"/>
      <c r="AE244" s="134">
        <v>1000</v>
      </c>
      <c r="AF244" s="213">
        <f>AE244-AA244</f>
        <v>1000</v>
      </c>
      <c r="AH244" s="18">
        <v>1000</v>
      </c>
      <c r="AI244" s="20">
        <f t="shared" ref="AI244" si="557">AH244/AE244</f>
        <v>1</v>
      </c>
      <c r="AK244" s="134">
        <v>1000</v>
      </c>
      <c r="AR244" s="18"/>
      <c r="AS244" s="18">
        <f t="shared" si="530"/>
        <v>1000</v>
      </c>
      <c r="AV244" s="18">
        <f t="shared" si="531"/>
        <v>1000</v>
      </c>
      <c r="AX244" s="18"/>
      <c r="AY244" s="18">
        <f t="shared" si="532"/>
        <v>1000</v>
      </c>
      <c r="BB244" s="18">
        <f t="shared" si="533"/>
        <v>1000</v>
      </c>
      <c r="BD244" s="18"/>
      <c r="BE244" s="18">
        <f t="shared" si="534"/>
        <v>1000</v>
      </c>
      <c r="BG244" s="18"/>
      <c r="BH244" s="18">
        <f t="shared" si="535"/>
        <v>1000</v>
      </c>
      <c r="BJ244" s="18">
        <v>1000</v>
      </c>
      <c r="BK244" s="279">
        <f t="shared" ref="BK244:BK245" si="558">BJ244/BH244</f>
        <v>1</v>
      </c>
      <c r="BM244" s="289">
        <v>1000</v>
      </c>
      <c r="BN244" s="279">
        <f t="shared" ref="BN244:BN264" si="559">BM244/BJ244</f>
        <v>1</v>
      </c>
      <c r="BO244" s="279">
        <f t="shared" ref="BO244:BO264" si="560">BM244/BH244</f>
        <v>1</v>
      </c>
      <c r="BQ244" s="289"/>
      <c r="BR244" s="18">
        <f t="shared" si="539"/>
        <v>1000</v>
      </c>
      <c r="BT244" s="289"/>
      <c r="BU244" s="18">
        <f t="shared" si="540"/>
        <v>1000</v>
      </c>
      <c r="BW244" s="289"/>
      <c r="BX244" s="18">
        <f t="shared" si="541"/>
        <v>1000</v>
      </c>
      <c r="BZ244" s="289"/>
      <c r="CA244" s="18">
        <f t="shared" si="542"/>
        <v>1000</v>
      </c>
      <c r="CC244" s="289"/>
      <c r="CD244" s="18">
        <f t="shared" si="543"/>
        <v>1000</v>
      </c>
      <c r="CF244" s="289"/>
      <c r="CG244" s="18">
        <f t="shared" si="544"/>
        <v>1000</v>
      </c>
      <c r="CI244" s="289"/>
      <c r="CJ244" s="18">
        <f t="shared" si="545"/>
        <v>1000</v>
      </c>
      <c r="CM244" s="18">
        <f t="shared" si="546"/>
        <v>1000</v>
      </c>
      <c r="CO244" s="327"/>
      <c r="CP244" s="18">
        <f t="shared" si="547"/>
        <v>1000</v>
      </c>
      <c r="CR244" s="327"/>
      <c r="CS244" s="18">
        <f t="shared" si="548"/>
        <v>1000</v>
      </c>
      <c r="CU244" s="349">
        <v>-1000</v>
      </c>
      <c r="CV244" s="18">
        <f t="shared" si="549"/>
        <v>0</v>
      </c>
      <c r="CX244" s="349"/>
      <c r="CY244" s="18">
        <f t="shared" si="550"/>
        <v>0</v>
      </c>
      <c r="DA244" s="327">
        <v>0</v>
      </c>
      <c r="DC244" s="327">
        <f>1500+12*550</f>
        <v>8100</v>
      </c>
    </row>
    <row r="245" spans="1:107" outlineLevel="1">
      <c r="A245" s="14" t="s">
        <v>78</v>
      </c>
      <c r="B245" s="14" t="s">
        <v>229</v>
      </c>
      <c r="C245" s="4" t="s">
        <v>230</v>
      </c>
      <c r="D245" s="52">
        <v>1000</v>
      </c>
      <c r="E245" s="37">
        <v>0</v>
      </c>
      <c r="F245" s="52">
        <v>1000</v>
      </c>
      <c r="G245" s="37">
        <v>0</v>
      </c>
      <c r="H245" s="56">
        <v>0</v>
      </c>
      <c r="I245" s="40">
        <v>0</v>
      </c>
      <c r="J245" s="17"/>
      <c r="L245" s="134">
        <v>500</v>
      </c>
      <c r="M245" s="20">
        <f t="shared" si="525"/>
        <v>-0.5</v>
      </c>
      <c r="N245" s="20" t="e">
        <f t="shared" si="523"/>
        <v>#DIV/0!</v>
      </c>
      <c r="Q245" s="134">
        <v>500</v>
      </c>
      <c r="R245" s="18">
        <v>0</v>
      </c>
      <c r="S245" s="134">
        <v>500</v>
      </c>
      <c r="T245" s="18">
        <f t="shared" si="526"/>
        <v>0</v>
      </c>
      <c r="U245" s="19">
        <f t="shared" si="527"/>
        <v>0</v>
      </c>
      <c r="Y245" s="134">
        <v>500</v>
      </c>
      <c r="AA245" s="134">
        <v>0</v>
      </c>
      <c r="AB245" s="216">
        <f t="shared" si="528"/>
        <v>-500</v>
      </c>
      <c r="AC245" s="219">
        <f t="shared" si="529"/>
        <v>-500</v>
      </c>
      <c r="AD245" s="219"/>
      <c r="AE245" s="134">
        <v>0</v>
      </c>
      <c r="AF245" s="213"/>
      <c r="AH245" s="18">
        <v>0</v>
      </c>
      <c r="AK245" s="134">
        <v>500</v>
      </c>
      <c r="AR245" s="18"/>
      <c r="AS245" s="18">
        <f t="shared" si="530"/>
        <v>500</v>
      </c>
      <c r="AV245" s="18">
        <f t="shared" si="531"/>
        <v>500</v>
      </c>
      <c r="AX245" s="18"/>
      <c r="AY245" s="18">
        <f t="shared" si="532"/>
        <v>500</v>
      </c>
      <c r="BB245" s="18">
        <f t="shared" si="533"/>
        <v>500</v>
      </c>
      <c r="BD245" s="18"/>
      <c r="BE245" s="18">
        <f t="shared" si="534"/>
        <v>500</v>
      </c>
      <c r="BG245" s="18"/>
      <c r="BH245" s="18">
        <f t="shared" si="535"/>
        <v>500</v>
      </c>
      <c r="BJ245" s="18">
        <v>0</v>
      </c>
      <c r="BK245" s="279">
        <f t="shared" si="558"/>
        <v>0</v>
      </c>
      <c r="BM245" s="289">
        <v>500</v>
      </c>
      <c r="BN245" s="279" t="e">
        <f t="shared" si="559"/>
        <v>#DIV/0!</v>
      </c>
      <c r="BO245" s="279">
        <f t="shared" si="560"/>
        <v>1</v>
      </c>
      <c r="BQ245" s="289"/>
      <c r="BR245" s="18">
        <f t="shared" ref="BR245:BR257" si="561">BM245+BQ245</f>
        <v>500</v>
      </c>
      <c r="BT245" s="289"/>
      <c r="BU245" s="18">
        <f t="shared" si="540"/>
        <v>500</v>
      </c>
      <c r="BW245" s="289"/>
      <c r="BX245" s="18">
        <f t="shared" si="541"/>
        <v>500</v>
      </c>
      <c r="BZ245" s="289"/>
      <c r="CA245" s="18">
        <f t="shared" si="542"/>
        <v>500</v>
      </c>
      <c r="CC245" s="289"/>
      <c r="CD245" s="18">
        <f t="shared" si="543"/>
        <v>500</v>
      </c>
      <c r="CF245" s="289"/>
      <c r="CG245" s="18">
        <f t="shared" si="544"/>
        <v>500</v>
      </c>
      <c r="CI245" s="289"/>
      <c r="CJ245" s="18">
        <f t="shared" si="545"/>
        <v>500</v>
      </c>
      <c r="CM245" s="18">
        <f t="shared" si="546"/>
        <v>500</v>
      </c>
      <c r="CO245" s="327">
        <v>-500</v>
      </c>
      <c r="CP245" s="18">
        <f t="shared" si="547"/>
        <v>0</v>
      </c>
      <c r="CR245" s="327"/>
      <c r="CS245" s="18">
        <f t="shared" si="548"/>
        <v>0</v>
      </c>
      <c r="CU245" s="327"/>
      <c r="CV245" s="18">
        <f t="shared" si="549"/>
        <v>0</v>
      </c>
      <c r="CX245" s="327"/>
      <c r="CY245" s="18">
        <f t="shared" si="550"/>
        <v>0</v>
      </c>
      <c r="DA245" s="327">
        <v>0</v>
      </c>
      <c r="DC245" s="327">
        <v>300</v>
      </c>
    </row>
    <row r="246" spans="1:107" outlineLevel="1">
      <c r="A246" s="14" t="s">
        <v>78</v>
      </c>
      <c r="B246" s="14" t="s">
        <v>146</v>
      </c>
      <c r="C246" s="4" t="s">
        <v>147</v>
      </c>
      <c r="D246" s="52">
        <v>0</v>
      </c>
      <c r="E246" s="37">
        <v>0</v>
      </c>
      <c r="F246" s="52">
        <v>444</v>
      </c>
      <c r="G246" s="37">
        <v>100</v>
      </c>
      <c r="H246" s="56">
        <v>444</v>
      </c>
      <c r="I246" s="40">
        <v>444</v>
      </c>
      <c r="J246" s="17"/>
      <c r="L246" s="134">
        <v>0</v>
      </c>
      <c r="M246" s="20">
        <f t="shared" si="525"/>
        <v>-1</v>
      </c>
      <c r="N246" s="20">
        <f t="shared" si="523"/>
        <v>-1</v>
      </c>
      <c r="Q246" s="134">
        <v>0</v>
      </c>
      <c r="Y246" s="134"/>
      <c r="AB246" s="216">
        <f t="shared" si="528"/>
        <v>0</v>
      </c>
      <c r="AC246" s="219">
        <f t="shared" si="529"/>
        <v>0</v>
      </c>
      <c r="AD246" s="219"/>
      <c r="AE246" s="134">
        <v>300</v>
      </c>
      <c r="AF246" s="213">
        <f>AE246-AA246</f>
        <v>300</v>
      </c>
      <c r="AH246" s="18">
        <v>297</v>
      </c>
      <c r="AI246" s="20">
        <f t="shared" ref="AI246:AI262" si="562">AH246/AE246</f>
        <v>0.99</v>
      </c>
      <c r="AK246" s="134">
        <v>0</v>
      </c>
      <c r="AR246" s="18"/>
      <c r="AS246" s="18">
        <f t="shared" si="530"/>
        <v>0</v>
      </c>
      <c r="AV246" s="18">
        <f t="shared" si="531"/>
        <v>0</v>
      </c>
      <c r="AX246" s="18"/>
      <c r="AY246" s="18">
        <f t="shared" si="532"/>
        <v>0</v>
      </c>
      <c r="BB246" s="18">
        <f t="shared" si="533"/>
        <v>0</v>
      </c>
      <c r="BD246" s="18"/>
      <c r="BE246" s="18">
        <f t="shared" si="534"/>
        <v>0</v>
      </c>
      <c r="BG246" s="18"/>
      <c r="BH246" s="18">
        <f t="shared" si="535"/>
        <v>0</v>
      </c>
      <c r="BJ246" s="18">
        <v>0</v>
      </c>
      <c r="BM246" s="289">
        <v>0</v>
      </c>
      <c r="BN246" s="279" t="e">
        <f t="shared" si="559"/>
        <v>#DIV/0!</v>
      </c>
      <c r="BO246" s="279" t="e">
        <f t="shared" si="560"/>
        <v>#DIV/0!</v>
      </c>
      <c r="BQ246" s="289"/>
      <c r="BR246" s="18">
        <f t="shared" si="561"/>
        <v>0</v>
      </c>
      <c r="BT246" s="289"/>
      <c r="BU246" s="18">
        <f t="shared" si="540"/>
        <v>0</v>
      </c>
      <c r="BW246" s="289"/>
      <c r="BX246" s="18">
        <f t="shared" si="541"/>
        <v>0</v>
      </c>
      <c r="BZ246" s="289"/>
      <c r="CA246" s="18">
        <f t="shared" si="542"/>
        <v>0</v>
      </c>
      <c r="CC246" s="289"/>
      <c r="CD246" s="18">
        <f t="shared" si="543"/>
        <v>0</v>
      </c>
      <c r="CF246" s="289"/>
      <c r="CG246" s="18">
        <f t="shared" si="544"/>
        <v>0</v>
      </c>
      <c r="CI246" s="289"/>
      <c r="CJ246" s="18">
        <f t="shared" si="545"/>
        <v>0</v>
      </c>
      <c r="CM246" s="18">
        <f t="shared" si="546"/>
        <v>0</v>
      </c>
      <c r="CO246" s="327"/>
      <c r="CP246" s="18">
        <f t="shared" si="547"/>
        <v>0</v>
      </c>
      <c r="CR246" s="327"/>
      <c r="CS246" s="18">
        <f t="shared" si="548"/>
        <v>0</v>
      </c>
      <c r="CU246" s="327"/>
      <c r="CV246" s="18">
        <f t="shared" si="549"/>
        <v>0</v>
      </c>
      <c r="CX246" s="327"/>
      <c r="CY246" s="18">
        <f t="shared" si="550"/>
        <v>0</v>
      </c>
      <c r="DA246" s="327">
        <v>0</v>
      </c>
      <c r="DC246" s="327"/>
    </row>
    <row r="247" spans="1:107" outlineLevel="1">
      <c r="A247" s="14" t="s">
        <v>78</v>
      </c>
      <c r="B247" s="14" t="s">
        <v>115</v>
      </c>
      <c r="C247" s="4" t="s">
        <v>116</v>
      </c>
      <c r="D247" s="52">
        <v>46000</v>
      </c>
      <c r="E247" s="37">
        <v>21.24</v>
      </c>
      <c r="F247" s="52">
        <v>46000</v>
      </c>
      <c r="G247" s="37">
        <v>21.24</v>
      </c>
      <c r="H247" s="56">
        <v>9769</v>
      </c>
      <c r="I247" s="40">
        <v>9769</v>
      </c>
      <c r="J247" s="17"/>
      <c r="L247" s="134">
        <v>15000</v>
      </c>
      <c r="M247" s="20">
        <f t="shared" si="525"/>
        <v>-0.67391304347826086</v>
      </c>
      <c r="N247" s="20">
        <f t="shared" si="523"/>
        <v>0.53546934179547545</v>
      </c>
      <c r="Q247" s="134">
        <v>15000</v>
      </c>
      <c r="R247" s="18">
        <v>0</v>
      </c>
      <c r="S247" s="134">
        <v>15000</v>
      </c>
      <c r="T247" s="18">
        <f>S247-Q247</f>
        <v>0</v>
      </c>
      <c r="U247" s="19">
        <f>S247/Q247-1</f>
        <v>0</v>
      </c>
      <c r="Y247" s="134">
        <v>15000</v>
      </c>
      <c r="AA247" s="134">
        <v>15000</v>
      </c>
      <c r="AB247" s="216">
        <f t="shared" si="528"/>
        <v>0</v>
      </c>
      <c r="AC247" s="219">
        <f t="shared" si="529"/>
        <v>0</v>
      </c>
      <c r="AD247" s="219"/>
      <c r="AE247" s="134">
        <v>15000</v>
      </c>
      <c r="AF247" s="213"/>
      <c r="AH247" s="18">
        <v>14459</v>
      </c>
      <c r="AI247" s="20">
        <f t="shared" si="562"/>
        <v>0.96393333333333331</v>
      </c>
      <c r="AK247" s="134">
        <v>15000</v>
      </c>
      <c r="AR247" s="18"/>
      <c r="AS247" s="18">
        <f t="shared" si="530"/>
        <v>15000</v>
      </c>
      <c r="AV247" s="18">
        <f t="shared" si="531"/>
        <v>15000</v>
      </c>
      <c r="AX247" s="18"/>
      <c r="AY247" s="18">
        <f t="shared" si="532"/>
        <v>15000</v>
      </c>
      <c r="BB247" s="18">
        <f t="shared" si="533"/>
        <v>15000</v>
      </c>
      <c r="BD247" s="18">
        <v>2000</v>
      </c>
      <c r="BE247" s="18">
        <f t="shared" si="534"/>
        <v>17000</v>
      </c>
      <c r="BG247" s="18"/>
      <c r="BH247" s="18">
        <f t="shared" si="535"/>
        <v>17000</v>
      </c>
      <c r="BJ247" s="18">
        <v>14157</v>
      </c>
      <c r="BK247" s="279">
        <f t="shared" ref="BK247:BK264" si="563">BJ247/BH247</f>
        <v>0.83276470588235296</v>
      </c>
      <c r="BM247" s="289">
        <v>15000</v>
      </c>
      <c r="BN247" s="279">
        <f t="shared" si="559"/>
        <v>1.0595465140919686</v>
      </c>
      <c r="BO247" s="279">
        <f t="shared" si="560"/>
        <v>0.88235294117647056</v>
      </c>
      <c r="BQ247" s="289"/>
      <c r="BR247" s="18">
        <f t="shared" si="561"/>
        <v>15000</v>
      </c>
      <c r="BT247" s="289"/>
      <c r="BU247" s="18">
        <f t="shared" si="540"/>
        <v>15000</v>
      </c>
      <c r="BW247" s="289"/>
      <c r="BX247" s="18">
        <f t="shared" si="541"/>
        <v>15000</v>
      </c>
      <c r="BZ247" s="289"/>
      <c r="CA247" s="18">
        <f t="shared" si="542"/>
        <v>15000</v>
      </c>
      <c r="CC247" s="289"/>
      <c r="CD247" s="18">
        <f t="shared" si="543"/>
        <v>15000</v>
      </c>
      <c r="CF247" s="289"/>
      <c r="CG247" s="18">
        <f t="shared" si="544"/>
        <v>15000</v>
      </c>
      <c r="CI247" s="289"/>
      <c r="CJ247" s="18">
        <f t="shared" si="545"/>
        <v>15000</v>
      </c>
      <c r="CM247" s="18">
        <f t="shared" si="546"/>
        <v>15000</v>
      </c>
      <c r="CO247" s="327">
        <v>-10000</v>
      </c>
      <c r="CP247" s="18">
        <f t="shared" si="547"/>
        <v>5000</v>
      </c>
      <c r="CR247" s="327"/>
      <c r="CS247" s="18">
        <f t="shared" si="548"/>
        <v>5000</v>
      </c>
      <c r="CU247" s="349">
        <v>-5000</v>
      </c>
      <c r="CV247" s="18">
        <f t="shared" si="549"/>
        <v>0</v>
      </c>
      <c r="CX247" s="349"/>
      <c r="CY247" s="18">
        <f t="shared" si="550"/>
        <v>0</v>
      </c>
      <c r="DA247" s="327">
        <v>0</v>
      </c>
      <c r="DC247" s="327">
        <v>40000</v>
      </c>
    </row>
    <row r="248" spans="1:107" outlineLevel="1">
      <c r="A248" s="14" t="s">
        <v>78</v>
      </c>
      <c r="B248" s="14" t="s">
        <v>148</v>
      </c>
      <c r="C248" s="4" t="s">
        <v>149</v>
      </c>
      <c r="D248" s="52">
        <v>20000</v>
      </c>
      <c r="E248" s="37">
        <v>241.04</v>
      </c>
      <c r="F248" s="52">
        <v>52093.34</v>
      </c>
      <c r="G248" s="37">
        <v>92.54</v>
      </c>
      <c r="H248" s="56">
        <v>48207.63</v>
      </c>
      <c r="I248" s="40">
        <v>49000</v>
      </c>
      <c r="J248" s="17"/>
      <c r="L248" s="134">
        <v>35000</v>
      </c>
      <c r="M248" s="20">
        <f t="shared" si="525"/>
        <v>-0.32812908521511575</v>
      </c>
      <c r="N248" s="20">
        <f t="shared" si="523"/>
        <v>-0.2857142857142857</v>
      </c>
      <c r="Q248" s="134">
        <v>35000</v>
      </c>
      <c r="R248" s="18">
        <v>13359</v>
      </c>
      <c r="S248" s="134">
        <v>30000</v>
      </c>
      <c r="T248" s="18">
        <f>S248-Q248</f>
        <v>-5000</v>
      </c>
      <c r="U248" s="19">
        <f>S248/Q248-1</f>
        <v>-0.1428571428571429</v>
      </c>
      <c r="Y248" s="134">
        <v>30000</v>
      </c>
      <c r="AA248" s="134">
        <v>25000</v>
      </c>
      <c r="AB248" s="216">
        <f t="shared" si="528"/>
        <v>-5000</v>
      </c>
      <c r="AC248" s="219">
        <f t="shared" si="529"/>
        <v>-5000</v>
      </c>
      <c r="AD248" s="219"/>
      <c r="AE248" s="134">
        <v>25000</v>
      </c>
      <c r="AF248" s="213"/>
      <c r="AH248" s="18">
        <v>20543.259999999998</v>
      </c>
      <c r="AI248" s="20">
        <f t="shared" si="562"/>
        <v>0.82173039999999997</v>
      </c>
      <c r="AK248" s="134">
        <v>22000</v>
      </c>
      <c r="AR248" s="18"/>
      <c r="AS248" s="18">
        <f t="shared" si="530"/>
        <v>22000</v>
      </c>
      <c r="AV248" s="18">
        <f t="shared" si="531"/>
        <v>22000</v>
      </c>
      <c r="AX248" s="18"/>
      <c r="AY248" s="18">
        <f t="shared" si="532"/>
        <v>22000</v>
      </c>
      <c r="BB248" s="18">
        <f t="shared" si="533"/>
        <v>22000</v>
      </c>
      <c r="BD248" s="18">
        <v>-2000</v>
      </c>
      <c r="BE248" s="18">
        <f t="shared" si="534"/>
        <v>20000</v>
      </c>
      <c r="BG248" s="18"/>
      <c r="BH248" s="18">
        <f t="shared" si="535"/>
        <v>20000</v>
      </c>
      <c r="BJ248" s="18">
        <v>17838</v>
      </c>
      <c r="BK248" s="279">
        <f t="shared" si="563"/>
        <v>0.89190000000000003</v>
      </c>
      <c r="BM248" s="289">
        <v>25000</v>
      </c>
      <c r="BN248" s="279">
        <f t="shared" si="559"/>
        <v>1.4015024105841463</v>
      </c>
      <c r="BO248" s="279">
        <f t="shared" si="560"/>
        <v>1.25</v>
      </c>
      <c r="BQ248" s="289"/>
      <c r="BR248" s="18">
        <f t="shared" si="561"/>
        <v>25000</v>
      </c>
      <c r="BT248" s="289"/>
      <c r="BU248" s="18">
        <f t="shared" si="540"/>
        <v>25000</v>
      </c>
      <c r="BW248" s="289">
        <v>20000</v>
      </c>
      <c r="BX248" s="18">
        <f t="shared" si="541"/>
        <v>45000</v>
      </c>
      <c r="BZ248" s="289"/>
      <c r="CA248" s="18">
        <f t="shared" si="542"/>
        <v>45000</v>
      </c>
      <c r="CC248" s="289"/>
      <c r="CD248" s="18">
        <f t="shared" si="543"/>
        <v>45000</v>
      </c>
      <c r="CF248" s="289"/>
      <c r="CG248" s="18">
        <f t="shared" si="544"/>
        <v>45000</v>
      </c>
      <c r="CI248" s="289"/>
      <c r="CJ248" s="18">
        <f t="shared" si="545"/>
        <v>45000</v>
      </c>
      <c r="CM248" s="18">
        <f t="shared" si="546"/>
        <v>45000</v>
      </c>
      <c r="CO248" s="327"/>
      <c r="CP248" s="18">
        <f t="shared" si="547"/>
        <v>45000</v>
      </c>
      <c r="CR248" s="327"/>
      <c r="CS248" s="18">
        <f t="shared" si="548"/>
        <v>45000</v>
      </c>
      <c r="CU248" s="349">
        <v>1000</v>
      </c>
      <c r="CV248" s="18">
        <f t="shared" si="549"/>
        <v>46000</v>
      </c>
      <c r="CX248" s="349"/>
      <c r="CY248" s="18">
        <f t="shared" si="550"/>
        <v>46000</v>
      </c>
      <c r="DA248" s="327">
        <v>45281.37</v>
      </c>
      <c r="DC248" s="327">
        <v>30000</v>
      </c>
    </row>
    <row r="249" spans="1:107" outlineLevel="1">
      <c r="A249" s="14" t="s">
        <v>78</v>
      </c>
      <c r="B249" s="14" t="s">
        <v>159</v>
      </c>
      <c r="C249" s="4" t="s">
        <v>160</v>
      </c>
      <c r="D249" s="52">
        <v>2500</v>
      </c>
      <c r="E249" s="37">
        <v>132.44</v>
      </c>
      <c r="F249" s="52">
        <v>5500</v>
      </c>
      <c r="G249" s="37">
        <v>60.2</v>
      </c>
      <c r="H249" s="56">
        <v>3311</v>
      </c>
      <c r="I249" s="40">
        <v>3500</v>
      </c>
      <c r="J249" s="17"/>
      <c r="K249" t="s">
        <v>336</v>
      </c>
      <c r="L249" s="134">
        <v>3000</v>
      </c>
      <c r="M249" s="20">
        <f t="shared" si="525"/>
        <v>-0.45454545454545459</v>
      </c>
      <c r="N249" s="20">
        <f t="shared" si="523"/>
        <v>-0.1428571428571429</v>
      </c>
      <c r="Q249" s="134">
        <v>3000</v>
      </c>
      <c r="R249" s="18">
        <v>1312</v>
      </c>
      <c r="S249" s="134">
        <v>3000</v>
      </c>
      <c r="T249" s="18">
        <f>S249-Q249</f>
        <v>0</v>
      </c>
      <c r="U249" s="19">
        <f>S249/Q249-1</f>
        <v>0</v>
      </c>
      <c r="Y249" s="134">
        <v>3000</v>
      </c>
      <c r="AA249" s="134">
        <v>3000</v>
      </c>
      <c r="AB249" s="216">
        <f t="shared" si="528"/>
        <v>0</v>
      </c>
      <c r="AC249" s="219">
        <f t="shared" si="529"/>
        <v>0</v>
      </c>
      <c r="AD249" s="219"/>
      <c r="AE249" s="134">
        <v>4200</v>
      </c>
      <c r="AF249" s="213">
        <f>AE249-AA249</f>
        <v>1200</v>
      </c>
      <c r="AH249" s="18">
        <v>4132.3999999999996</v>
      </c>
      <c r="AI249" s="20">
        <f t="shared" si="562"/>
        <v>0.98390476190476184</v>
      </c>
      <c r="AK249" s="134">
        <v>4400</v>
      </c>
      <c r="AR249" s="18"/>
      <c r="AS249" s="18">
        <f t="shared" si="530"/>
        <v>4400</v>
      </c>
      <c r="AV249" s="18">
        <f t="shared" si="531"/>
        <v>4400</v>
      </c>
      <c r="AX249" s="18"/>
      <c r="AY249" s="18">
        <f t="shared" si="532"/>
        <v>4400</v>
      </c>
      <c r="BB249" s="18">
        <f t="shared" si="533"/>
        <v>4400</v>
      </c>
      <c r="BD249" s="18">
        <v>-2000</v>
      </c>
      <c r="BE249" s="18">
        <f t="shared" si="534"/>
        <v>2400</v>
      </c>
      <c r="BG249" s="18">
        <v>3500</v>
      </c>
      <c r="BH249" s="18">
        <f t="shared" si="535"/>
        <v>5900</v>
      </c>
      <c r="BJ249" s="18">
        <v>5416</v>
      </c>
      <c r="BK249" s="279">
        <f t="shared" si="563"/>
        <v>0.91796610169491522</v>
      </c>
      <c r="BM249" s="289">
        <f>(780+70)*2</f>
        <v>1700</v>
      </c>
      <c r="BN249" s="279">
        <f t="shared" si="559"/>
        <v>0.31388478581979323</v>
      </c>
      <c r="BO249" s="279">
        <f t="shared" si="560"/>
        <v>0.28813559322033899</v>
      </c>
      <c r="BQ249" s="289"/>
      <c r="BR249" s="18">
        <f t="shared" si="561"/>
        <v>1700</v>
      </c>
      <c r="BT249" s="289"/>
      <c r="BU249" s="18">
        <f t="shared" si="540"/>
        <v>1700</v>
      </c>
      <c r="BW249" s="289"/>
      <c r="BX249" s="18">
        <f t="shared" si="541"/>
        <v>1700</v>
      </c>
      <c r="BZ249" s="289"/>
      <c r="CA249" s="18">
        <f t="shared" si="542"/>
        <v>1700</v>
      </c>
      <c r="CC249" s="289"/>
      <c r="CD249" s="18">
        <f t="shared" si="543"/>
        <v>1700</v>
      </c>
      <c r="CF249" s="289"/>
      <c r="CG249" s="18">
        <f t="shared" si="544"/>
        <v>1700</v>
      </c>
      <c r="CI249" s="289"/>
      <c r="CJ249" s="18">
        <f t="shared" si="545"/>
        <v>1700</v>
      </c>
      <c r="CM249" s="18">
        <f t="shared" si="546"/>
        <v>1700</v>
      </c>
      <c r="CO249" s="327"/>
      <c r="CP249" s="18">
        <f t="shared" si="547"/>
        <v>1700</v>
      </c>
      <c r="CR249" s="327"/>
      <c r="CS249" s="18">
        <f t="shared" si="548"/>
        <v>1700</v>
      </c>
      <c r="CU249" s="349">
        <v>1800</v>
      </c>
      <c r="CV249" s="18">
        <f t="shared" si="549"/>
        <v>3500</v>
      </c>
      <c r="CX249" s="349"/>
      <c r="CY249" s="18">
        <f t="shared" si="550"/>
        <v>3500</v>
      </c>
      <c r="DA249" s="327">
        <v>3419</v>
      </c>
      <c r="DC249" s="327">
        <v>10000</v>
      </c>
    </row>
    <row r="250" spans="1:107" outlineLevel="1">
      <c r="A250" s="14" t="s">
        <v>78</v>
      </c>
      <c r="B250" s="14" t="s">
        <v>161</v>
      </c>
      <c r="C250" s="4" t="s">
        <v>162</v>
      </c>
      <c r="D250" s="52">
        <v>65000</v>
      </c>
      <c r="E250" s="37">
        <v>55.31</v>
      </c>
      <c r="F250" s="52">
        <v>65000</v>
      </c>
      <c r="G250" s="37">
        <v>55.31</v>
      </c>
      <c r="H250" s="56">
        <v>35951</v>
      </c>
      <c r="I250" s="40">
        <v>40000</v>
      </c>
      <c r="J250" s="17"/>
      <c r="K250" t="s">
        <v>336</v>
      </c>
      <c r="L250" s="134">
        <v>43000</v>
      </c>
      <c r="M250" s="20">
        <f t="shared" si="525"/>
        <v>-0.33846153846153848</v>
      </c>
      <c r="N250" s="20">
        <f t="shared" si="523"/>
        <v>7.4999999999999956E-2</v>
      </c>
      <c r="Q250" s="134">
        <v>43000</v>
      </c>
      <c r="R250" s="18">
        <v>15996</v>
      </c>
      <c r="S250" s="134">
        <v>43000</v>
      </c>
      <c r="T250" s="18">
        <f>S250-Q250</f>
        <v>0</v>
      </c>
      <c r="U250" s="19">
        <f>S250/Q250-1</f>
        <v>0</v>
      </c>
      <c r="Y250" s="134">
        <v>43000</v>
      </c>
      <c r="AA250" s="134">
        <v>43000</v>
      </c>
      <c r="AB250" s="216">
        <f t="shared" si="528"/>
        <v>0</v>
      </c>
      <c r="AC250" s="219">
        <f t="shared" si="529"/>
        <v>0</v>
      </c>
      <c r="AD250" s="219"/>
      <c r="AE250" s="134">
        <v>44900</v>
      </c>
      <c r="AF250" s="213">
        <f>AE250-AA250</f>
        <v>1900</v>
      </c>
      <c r="AH250" s="18">
        <v>44885.7</v>
      </c>
      <c r="AI250" s="20">
        <f t="shared" si="562"/>
        <v>0.99968151447661469</v>
      </c>
      <c r="AK250" s="134">
        <v>47000</v>
      </c>
      <c r="AR250" s="18"/>
      <c r="AS250" s="18">
        <f t="shared" si="530"/>
        <v>47000</v>
      </c>
      <c r="AV250" s="18">
        <f t="shared" si="531"/>
        <v>47000</v>
      </c>
      <c r="AX250" s="18"/>
      <c r="AY250" s="18">
        <f t="shared" si="532"/>
        <v>47000</v>
      </c>
      <c r="BB250" s="18">
        <f t="shared" si="533"/>
        <v>47000</v>
      </c>
      <c r="BD250" s="18">
        <v>-7000</v>
      </c>
      <c r="BE250" s="18">
        <f t="shared" si="534"/>
        <v>40000</v>
      </c>
      <c r="BG250" s="18"/>
      <c r="BH250" s="18">
        <f t="shared" si="535"/>
        <v>40000</v>
      </c>
      <c r="BJ250" s="18">
        <v>21649.96</v>
      </c>
      <c r="BK250" s="279">
        <f t="shared" si="563"/>
        <v>0.54124899999999998</v>
      </c>
      <c r="BM250" s="292">
        <f>12*(7100+4150)</f>
        <v>135000</v>
      </c>
      <c r="BN250" s="279">
        <f t="shared" si="559"/>
        <v>6.2355773405585975</v>
      </c>
      <c r="BO250" s="279">
        <f t="shared" si="560"/>
        <v>3.375</v>
      </c>
      <c r="BQ250" s="289"/>
      <c r="BR250" s="18">
        <f t="shared" si="561"/>
        <v>135000</v>
      </c>
      <c r="BT250" s="289"/>
      <c r="BU250" s="18">
        <f t="shared" si="540"/>
        <v>135000</v>
      </c>
      <c r="BW250" s="289"/>
      <c r="BX250" s="18">
        <f t="shared" si="541"/>
        <v>135000</v>
      </c>
      <c r="BZ250" s="289"/>
      <c r="CA250" s="18">
        <f t="shared" si="542"/>
        <v>135000</v>
      </c>
      <c r="CC250" s="289"/>
      <c r="CD250" s="18">
        <f t="shared" si="543"/>
        <v>135000</v>
      </c>
      <c r="CF250" s="289"/>
      <c r="CG250" s="18">
        <f t="shared" si="544"/>
        <v>135000</v>
      </c>
      <c r="CI250" s="289"/>
      <c r="CJ250" s="18">
        <f t="shared" si="545"/>
        <v>135000</v>
      </c>
      <c r="CM250" s="18">
        <f t="shared" si="546"/>
        <v>135000</v>
      </c>
      <c r="CO250" s="327">
        <v>11000</v>
      </c>
      <c r="CP250" s="18">
        <f t="shared" si="547"/>
        <v>146000</v>
      </c>
      <c r="CR250" s="327"/>
      <c r="CS250" s="18">
        <f t="shared" si="548"/>
        <v>146000</v>
      </c>
      <c r="CU250" s="349">
        <v>17000</v>
      </c>
      <c r="CV250" s="18">
        <f t="shared" si="549"/>
        <v>163000</v>
      </c>
      <c r="CX250" s="349"/>
      <c r="CY250" s="18">
        <f t="shared" si="550"/>
        <v>163000</v>
      </c>
      <c r="DA250" s="327">
        <v>162809.23000000001</v>
      </c>
      <c r="DC250" s="327">
        <v>160000</v>
      </c>
    </row>
    <row r="251" spans="1:107" outlineLevel="1">
      <c r="A251" s="14" t="s">
        <v>78</v>
      </c>
      <c r="B251" s="14" t="s">
        <v>163</v>
      </c>
      <c r="C251" s="4" t="s">
        <v>164</v>
      </c>
      <c r="D251" s="52">
        <v>15000</v>
      </c>
      <c r="E251" s="37">
        <v>143.76</v>
      </c>
      <c r="F251" s="52">
        <v>32000</v>
      </c>
      <c r="G251" s="37">
        <v>67.39</v>
      </c>
      <c r="H251" s="56">
        <v>21564.39</v>
      </c>
      <c r="I251" s="40">
        <v>25000</v>
      </c>
      <c r="J251" s="17"/>
      <c r="K251" t="s">
        <v>336</v>
      </c>
      <c r="L251" s="134">
        <v>32000</v>
      </c>
      <c r="M251" s="20">
        <f t="shared" si="525"/>
        <v>0</v>
      </c>
      <c r="N251" s="20">
        <f t="shared" si="523"/>
        <v>0.28000000000000003</v>
      </c>
      <c r="Q251" s="134">
        <v>32000</v>
      </c>
      <c r="R251" s="18">
        <v>14228</v>
      </c>
      <c r="S251" s="134">
        <v>32000</v>
      </c>
      <c r="T251" s="18">
        <f t="shared" ref="T251:T267" si="564">S251-Q251</f>
        <v>0</v>
      </c>
      <c r="U251" s="19">
        <f t="shared" ref="U251:U267" si="565">S251/Q251-1</f>
        <v>0</v>
      </c>
      <c r="Y251" s="134">
        <v>32000</v>
      </c>
      <c r="AA251" s="134">
        <v>32000</v>
      </c>
      <c r="AB251" s="216">
        <f t="shared" si="528"/>
        <v>0</v>
      </c>
      <c r="AC251" s="219">
        <f t="shared" si="529"/>
        <v>0</v>
      </c>
      <c r="AD251" s="219"/>
      <c r="AE251" s="134">
        <v>32000</v>
      </c>
      <c r="AF251" s="213"/>
      <c r="AH251" s="18">
        <v>26783.1</v>
      </c>
      <c r="AI251" s="20">
        <f t="shared" si="562"/>
        <v>0.83697187499999992</v>
      </c>
      <c r="AK251" s="134">
        <v>28000</v>
      </c>
      <c r="AR251" s="18"/>
      <c r="AS251" s="18">
        <f t="shared" si="530"/>
        <v>28000</v>
      </c>
      <c r="AV251" s="18">
        <f t="shared" si="531"/>
        <v>28000</v>
      </c>
      <c r="AX251" s="18"/>
      <c r="AY251" s="18">
        <f t="shared" si="532"/>
        <v>28000</v>
      </c>
      <c r="BB251" s="18">
        <f t="shared" si="533"/>
        <v>28000</v>
      </c>
      <c r="BD251" s="18">
        <v>5000</v>
      </c>
      <c r="BE251" s="18">
        <f t="shared" si="534"/>
        <v>33000</v>
      </c>
      <c r="BG251" s="18"/>
      <c r="BH251" s="18">
        <f t="shared" si="535"/>
        <v>33000</v>
      </c>
      <c r="BJ251" s="18">
        <v>26028</v>
      </c>
      <c r="BK251" s="279">
        <f t="shared" si="563"/>
        <v>0.78872727272727272</v>
      </c>
      <c r="BM251" s="292">
        <f>12*(2700+1050)</f>
        <v>45000</v>
      </c>
      <c r="BN251" s="279">
        <f t="shared" si="559"/>
        <v>1.7289073305670817</v>
      </c>
      <c r="BO251" s="279">
        <f t="shared" si="560"/>
        <v>1.3636363636363635</v>
      </c>
      <c r="BQ251" s="289"/>
      <c r="BR251" s="18">
        <f t="shared" si="561"/>
        <v>45000</v>
      </c>
      <c r="BT251" s="289"/>
      <c r="BU251" s="18">
        <f t="shared" si="540"/>
        <v>45000</v>
      </c>
      <c r="BW251" s="289"/>
      <c r="BX251" s="18">
        <f t="shared" si="541"/>
        <v>45000</v>
      </c>
      <c r="BZ251" s="289"/>
      <c r="CA251" s="18">
        <f t="shared" si="542"/>
        <v>45000</v>
      </c>
      <c r="CC251" s="289"/>
      <c r="CD251" s="18">
        <f t="shared" si="543"/>
        <v>45000</v>
      </c>
      <c r="CF251" s="289"/>
      <c r="CG251" s="18">
        <f t="shared" si="544"/>
        <v>45000</v>
      </c>
      <c r="CI251" s="289"/>
      <c r="CJ251" s="18">
        <f t="shared" si="545"/>
        <v>45000</v>
      </c>
      <c r="CM251" s="18">
        <f t="shared" si="546"/>
        <v>45000</v>
      </c>
      <c r="CO251" s="327"/>
      <c r="CP251" s="18">
        <f t="shared" si="547"/>
        <v>45000</v>
      </c>
      <c r="CR251" s="327"/>
      <c r="CS251" s="18">
        <f t="shared" si="548"/>
        <v>45000</v>
      </c>
      <c r="CU251" s="327"/>
      <c r="CV251" s="18">
        <f t="shared" si="549"/>
        <v>45000</v>
      </c>
      <c r="CX251" s="327"/>
      <c r="CY251" s="18">
        <f t="shared" si="550"/>
        <v>45000</v>
      </c>
      <c r="DA251" s="327">
        <v>44678.77</v>
      </c>
      <c r="DC251" s="327">
        <v>44000</v>
      </c>
    </row>
    <row r="252" spans="1:107" outlineLevel="1">
      <c r="A252" s="14" t="s">
        <v>78</v>
      </c>
      <c r="B252" s="14" t="s">
        <v>222</v>
      </c>
      <c r="C252" s="4" t="s">
        <v>223</v>
      </c>
      <c r="D252" s="52">
        <v>5000</v>
      </c>
      <c r="E252" s="37">
        <v>25.96</v>
      </c>
      <c r="F252" s="52">
        <v>5000</v>
      </c>
      <c r="G252" s="37">
        <v>25.96</v>
      </c>
      <c r="H252" s="56">
        <v>1298</v>
      </c>
      <c r="I252" s="40">
        <v>1600</v>
      </c>
      <c r="J252" s="17"/>
      <c r="K252" t="s">
        <v>336</v>
      </c>
      <c r="L252" s="134">
        <v>2000</v>
      </c>
      <c r="M252" s="20">
        <f t="shared" si="525"/>
        <v>-0.6</v>
      </c>
      <c r="N252" s="20">
        <f t="shared" si="523"/>
        <v>0.25</v>
      </c>
      <c r="Q252" s="134">
        <v>2000</v>
      </c>
      <c r="R252" s="18">
        <v>1301</v>
      </c>
      <c r="S252" s="134">
        <v>3000</v>
      </c>
      <c r="T252" s="18">
        <f t="shared" si="564"/>
        <v>1000</v>
      </c>
      <c r="U252" s="19">
        <f t="shared" si="565"/>
        <v>0.5</v>
      </c>
      <c r="Y252" s="134">
        <v>3000</v>
      </c>
      <c r="AA252" s="134">
        <v>3000</v>
      </c>
      <c r="AB252" s="216">
        <f t="shared" si="528"/>
        <v>0</v>
      </c>
      <c r="AC252" s="219">
        <f t="shared" si="529"/>
        <v>0</v>
      </c>
      <c r="AD252" s="219"/>
      <c r="AE252" s="134">
        <v>3700</v>
      </c>
      <c r="AF252" s="213">
        <f>AE252-AA252</f>
        <v>700</v>
      </c>
      <c r="AH252" s="18">
        <v>3686.8</v>
      </c>
      <c r="AI252" s="20">
        <f t="shared" si="562"/>
        <v>0.99643243243243251</v>
      </c>
      <c r="AK252" s="134">
        <v>4000</v>
      </c>
      <c r="AR252" s="18"/>
      <c r="AS252" s="18">
        <f t="shared" si="530"/>
        <v>4000</v>
      </c>
      <c r="AV252" s="18">
        <f t="shared" si="531"/>
        <v>4000</v>
      </c>
      <c r="AX252" s="18"/>
      <c r="AY252" s="18">
        <f t="shared" si="532"/>
        <v>4000</v>
      </c>
      <c r="BB252" s="18">
        <f t="shared" si="533"/>
        <v>4000</v>
      </c>
      <c r="BD252" s="18">
        <v>-1800</v>
      </c>
      <c r="BE252" s="18">
        <f t="shared" si="534"/>
        <v>2200</v>
      </c>
      <c r="BG252" s="18">
        <v>2000</v>
      </c>
      <c r="BH252" s="18">
        <f t="shared" si="535"/>
        <v>4200</v>
      </c>
      <c r="BJ252" s="18">
        <v>3887.8</v>
      </c>
      <c r="BK252" s="279">
        <f t="shared" si="563"/>
        <v>0.92566666666666675</v>
      </c>
      <c r="BM252" s="289">
        <v>4500</v>
      </c>
      <c r="BN252" s="279">
        <f t="shared" si="559"/>
        <v>1.1574669478882658</v>
      </c>
      <c r="BO252" s="279">
        <f t="shared" si="560"/>
        <v>1.0714285714285714</v>
      </c>
      <c r="BQ252" s="289"/>
      <c r="BR252" s="18">
        <f t="shared" si="561"/>
        <v>4500</v>
      </c>
      <c r="BT252" s="289"/>
      <c r="BU252" s="18">
        <f t="shared" si="540"/>
        <v>4500</v>
      </c>
      <c r="BW252" s="289"/>
      <c r="BX252" s="18">
        <f t="shared" si="541"/>
        <v>4500</v>
      </c>
      <c r="BZ252" s="289"/>
      <c r="CA252" s="18">
        <f t="shared" si="542"/>
        <v>4500</v>
      </c>
      <c r="CC252" s="289"/>
      <c r="CD252" s="18">
        <f t="shared" si="543"/>
        <v>4500</v>
      </c>
      <c r="CF252" s="289"/>
      <c r="CG252" s="18">
        <f t="shared" si="544"/>
        <v>4500</v>
      </c>
      <c r="CI252" s="289"/>
      <c r="CJ252" s="18">
        <f t="shared" si="545"/>
        <v>4500</v>
      </c>
      <c r="CM252" s="18">
        <f t="shared" si="546"/>
        <v>4500</v>
      </c>
      <c r="CO252" s="327"/>
      <c r="CP252" s="18">
        <f t="shared" si="547"/>
        <v>4500</v>
      </c>
      <c r="CR252" s="327"/>
      <c r="CS252" s="18">
        <f t="shared" si="548"/>
        <v>4500</v>
      </c>
      <c r="CU252" s="327"/>
      <c r="CV252" s="18">
        <f t="shared" si="549"/>
        <v>4500</v>
      </c>
      <c r="CX252" s="327"/>
      <c r="CY252" s="18">
        <f t="shared" si="550"/>
        <v>4500</v>
      </c>
      <c r="DA252" s="327">
        <v>4040.4</v>
      </c>
      <c r="DC252" s="327">
        <v>6000</v>
      </c>
    </row>
    <row r="253" spans="1:107" outlineLevel="1">
      <c r="A253" s="14" t="s">
        <v>78</v>
      </c>
      <c r="B253" s="14" t="s">
        <v>231</v>
      </c>
      <c r="C253" s="4" t="s">
        <v>232</v>
      </c>
      <c r="D253" s="52">
        <v>30000</v>
      </c>
      <c r="E253" s="37">
        <v>30.53</v>
      </c>
      <c r="F253" s="52">
        <v>30000</v>
      </c>
      <c r="G253" s="37">
        <v>30.53</v>
      </c>
      <c r="H253" s="56">
        <v>9159.48</v>
      </c>
      <c r="I253" s="40">
        <f>H253*I2</f>
        <v>10991.375999999998</v>
      </c>
      <c r="J253" s="17"/>
      <c r="K253" t="s">
        <v>336</v>
      </c>
      <c r="L253" s="134">
        <v>12000</v>
      </c>
      <c r="M253" s="20">
        <f t="shared" si="525"/>
        <v>-0.6</v>
      </c>
      <c r="N253" s="20">
        <f t="shared" si="523"/>
        <v>9.1765034696293046E-2</v>
      </c>
      <c r="Q253" s="134">
        <v>12000</v>
      </c>
      <c r="R253" s="18">
        <v>3642</v>
      </c>
      <c r="S253" s="134">
        <v>10000</v>
      </c>
      <c r="T253" s="18">
        <f t="shared" si="564"/>
        <v>-2000</v>
      </c>
      <c r="U253" s="19">
        <f t="shared" si="565"/>
        <v>-0.16666666666666663</v>
      </c>
      <c r="Y253" s="134">
        <v>10000</v>
      </c>
      <c r="AA253" s="134">
        <v>10000</v>
      </c>
      <c r="AB253" s="216">
        <f t="shared" si="528"/>
        <v>0</v>
      </c>
      <c r="AC253" s="219">
        <f t="shared" si="529"/>
        <v>0</v>
      </c>
      <c r="AD253" s="219"/>
      <c r="AE253" s="134">
        <v>10000</v>
      </c>
      <c r="AF253" s="213"/>
      <c r="AH253" s="18">
        <v>7031.45</v>
      </c>
      <c r="AI253" s="20">
        <f t="shared" si="562"/>
        <v>0.70314500000000002</v>
      </c>
      <c r="AK253" s="134">
        <v>8000</v>
      </c>
      <c r="AR253" s="18"/>
      <c r="AS253" s="18">
        <f t="shared" si="530"/>
        <v>8000</v>
      </c>
      <c r="AV253" s="18">
        <f t="shared" si="531"/>
        <v>8000</v>
      </c>
      <c r="AX253" s="18"/>
      <c r="AY253" s="18">
        <f t="shared" si="532"/>
        <v>8000</v>
      </c>
      <c r="BB253" s="18">
        <f t="shared" si="533"/>
        <v>8000</v>
      </c>
      <c r="BD253" s="18">
        <v>-2000</v>
      </c>
      <c r="BE253" s="18">
        <f t="shared" si="534"/>
        <v>6000</v>
      </c>
      <c r="BG253" s="18"/>
      <c r="BH253" s="18">
        <f t="shared" si="535"/>
        <v>6000</v>
      </c>
      <c r="BJ253" s="18">
        <v>4693.1000000000004</v>
      </c>
      <c r="BK253" s="279">
        <f t="shared" si="563"/>
        <v>0.78218333333333334</v>
      </c>
      <c r="BM253" s="289">
        <v>5000</v>
      </c>
      <c r="BN253" s="279">
        <f t="shared" si="559"/>
        <v>1.065393876116</v>
      </c>
      <c r="BO253" s="279">
        <f t="shared" si="560"/>
        <v>0.83333333333333337</v>
      </c>
      <c r="BQ253" s="289"/>
      <c r="BR253" s="18">
        <f t="shared" si="561"/>
        <v>5000</v>
      </c>
      <c r="BT253" s="289"/>
      <c r="BU253" s="18">
        <f t="shared" si="540"/>
        <v>5000</v>
      </c>
      <c r="BW253" s="289"/>
      <c r="BX253" s="18">
        <f t="shared" si="541"/>
        <v>5000</v>
      </c>
      <c r="BZ253" s="289"/>
      <c r="CA253" s="18">
        <f t="shared" si="542"/>
        <v>5000</v>
      </c>
      <c r="CC253" s="289"/>
      <c r="CD253" s="18">
        <f t="shared" si="543"/>
        <v>5000</v>
      </c>
      <c r="CF253" s="289"/>
      <c r="CG253" s="18">
        <f t="shared" si="544"/>
        <v>5000</v>
      </c>
      <c r="CI253" s="289"/>
      <c r="CJ253" s="18">
        <f t="shared" si="545"/>
        <v>5000</v>
      </c>
      <c r="CM253" s="18">
        <f t="shared" si="546"/>
        <v>5000</v>
      </c>
      <c r="CO253" s="327"/>
      <c r="CP253" s="18">
        <f t="shared" si="547"/>
        <v>5000</v>
      </c>
      <c r="CR253" s="327"/>
      <c r="CS253" s="18">
        <f t="shared" si="548"/>
        <v>5000</v>
      </c>
      <c r="CU253" s="327"/>
      <c r="CV253" s="18">
        <f t="shared" si="549"/>
        <v>5000</v>
      </c>
      <c r="CX253" s="327"/>
      <c r="CY253" s="18">
        <f t="shared" si="550"/>
        <v>5000</v>
      </c>
      <c r="DA253" s="327">
        <v>3414.94</v>
      </c>
      <c r="DC253" s="327">
        <v>5000</v>
      </c>
    </row>
    <row r="254" spans="1:107" outlineLevel="1">
      <c r="A254" s="14" t="s">
        <v>78</v>
      </c>
      <c r="B254" s="14" t="s">
        <v>233</v>
      </c>
      <c r="C254" s="4" t="s">
        <v>234</v>
      </c>
      <c r="D254" s="52">
        <v>7000</v>
      </c>
      <c r="E254" s="37">
        <v>77.17</v>
      </c>
      <c r="F254" s="52">
        <v>7000</v>
      </c>
      <c r="G254" s="37">
        <v>77.17</v>
      </c>
      <c r="H254" s="56">
        <v>5402</v>
      </c>
      <c r="I254" s="18">
        <f>H254*$I$2</f>
        <v>6482.4</v>
      </c>
      <c r="K254" t="s">
        <v>336</v>
      </c>
      <c r="L254" s="134">
        <v>7200</v>
      </c>
      <c r="M254" s="20">
        <f t="shared" si="525"/>
        <v>2.857142857142847E-2</v>
      </c>
      <c r="N254" s="20">
        <f t="shared" si="523"/>
        <v>0.11069974083672718</v>
      </c>
      <c r="Q254" s="134">
        <v>7200</v>
      </c>
      <c r="R254" s="18">
        <v>2917</v>
      </c>
      <c r="S254" s="134">
        <v>6000</v>
      </c>
      <c r="T254" s="18">
        <f t="shared" si="564"/>
        <v>-1200</v>
      </c>
      <c r="U254" s="19">
        <f t="shared" si="565"/>
        <v>-0.16666666666666663</v>
      </c>
      <c r="Y254" s="134">
        <v>6000</v>
      </c>
      <c r="AA254" s="134">
        <v>4500</v>
      </c>
      <c r="AB254" s="216">
        <f t="shared" si="528"/>
        <v>-1500</v>
      </c>
      <c r="AC254" s="219">
        <f t="shared" si="529"/>
        <v>-1500</v>
      </c>
      <c r="AD254" s="219"/>
      <c r="AE254" s="134">
        <v>4500</v>
      </c>
      <c r="AF254" s="213"/>
      <c r="AH254" s="18">
        <v>0</v>
      </c>
      <c r="AI254" s="20">
        <f t="shared" si="562"/>
        <v>0</v>
      </c>
      <c r="AK254" s="134">
        <v>0</v>
      </c>
      <c r="AR254" s="18"/>
      <c r="AS254" s="18">
        <f t="shared" si="530"/>
        <v>0</v>
      </c>
      <c r="AV254" s="18">
        <f t="shared" si="531"/>
        <v>0</v>
      </c>
      <c r="AX254" s="18"/>
      <c r="AY254" s="18">
        <f t="shared" si="532"/>
        <v>0</v>
      </c>
      <c r="BB254" s="18">
        <f t="shared" si="533"/>
        <v>0</v>
      </c>
      <c r="BD254" s="18"/>
      <c r="BE254" s="18">
        <f t="shared" si="534"/>
        <v>0</v>
      </c>
      <c r="BG254" s="18"/>
      <c r="BH254" s="18">
        <f t="shared" si="535"/>
        <v>0</v>
      </c>
      <c r="BJ254" s="18">
        <v>0</v>
      </c>
      <c r="BK254" s="279" t="e">
        <f t="shared" si="563"/>
        <v>#DIV/0!</v>
      </c>
      <c r="BM254" s="289"/>
      <c r="BN254" s="279" t="e">
        <f t="shared" si="559"/>
        <v>#DIV/0!</v>
      </c>
      <c r="BO254" s="279" t="e">
        <f t="shared" si="560"/>
        <v>#DIV/0!</v>
      </c>
      <c r="BQ254" s="289"/>
      <c r="BR254" s="18">
        <f t="shared" si="561"/>
        <v>0</v>
      </c>
      <c r="BT254" s="289"/>
      <c r="BU254" s="18">
        <f t="shared" si="540"/>
        <v>0</v>
      </c>
      <c r="BW254" s="289"/>
      <c r="BX254" s="18">
        <f t="shared" si="541"/>
        <v>0</v>
      </c>
      <c r="BZ254" s="289"/>
      <c r="CA254" s="18">
        <f t="shared" si="542"/>
        <v>0</v>
      </c>
      <c r="CC254" s="289"/>
      <c r="CD254" s="18">
        <f t="shared" si="543"/>
        <v>0</v>
      </c>
      <c r="CF254" s="289"/>
      <c r="CG254" s="18">
        <f t="shared" si="544"/>
        <v>0</v>
      </c>
      <c r="CI254" s="289"/>
      <c r="CJ254" s="18">
        <f t="shared" si="545"/>
        <v>0</v>
      </c>
      <c r="CM254" s="18">
        <f t="shared" si="546"/>
        <v>0</v>
      </c>
      <c r="CO254" s="327"/>
      <c r="CP254" s="18">
        <f t="shared" si="547"/>
        <v>0</v>
      </c>
      <c r="CR254" s="327"/>
      <c r="CS254" s="18">
        <f t="shared" si="548"/>
        <v>0</v>
      </c>
      <c r="CU254" s="327"/>
      <c r="CV254" s="18">
        <f t="shared" si="549"/>
        <v>0</v>
      </c>
      <c r="CX254" s="327"/>
      <c r="CY254" s="18">
        <f t="shared" si="550"/>
        <v>0</v>
      </c>
      <c r="DA254" s="327">
        <v>0</v>
      </c>
      <c r="DC254" s="327"/>
    </row>
    <row r="255" spans="1:107" outlineLevel="1">
      <c r="A255" s="222" t="s">
        <v>78</v>
      </c>
      <c r="B255" s="222" t="s">
        <v>197</v>
      </c>
      <c r="C255" s="4" t="s">
        <v>198</v>
      </c>
      <c r="D255" s="52">
        <v>30000</v>
      </c>
      <c r="E255" s="37">
        <v>76.709999999999994</v>
      </c>
      <c r="F255" s="52">
        <v>30000</v>
      </c>
      <c r="G255" s="37">
        <v>76.709999999999994</v>
      </c>
      <c r="H255" s="56">
        <v>23012</v>
      </c>
      <c r="I255" s="40">
        <v>27200</v>
      </c>
      <c r="J255" s="17"/>
      <c r="L255" s="134">
        <v>15000</v>
      </c>
      <c r="M255" s="20">
        <f t="shared" ref="M255" si="566">L255/F255-1</f>
        <v>-0.5</v>
      </c>
      <c r="N255" s="20">
        <f t="shared" ref="N255" si="567">L255/I255-1</f>
        <v>-0.44852941176470584</v>
      </c>
      <c r="Q255" s="134">
        <v>15000</v>
      </c>
      <c r="R255" s="18">
        <v>6430</v>
      </c>
      <c r="S255" s="134">
        <v>9000</v>
      </c>
      <c r="T255" s="18">
        <f t="shared" ref="T255" si="568">S255-Q255</f>
        <v>-6000</v>
      </c>
      <c r="U255" s="19">
        <f t="shared" ref="U255" si="569">S255/Q255-1</f>
        <v>-0.4</v>
      </c>
      <c r="Y255" s="134">
        <v>9000</v>
      </c>
      <c r="AA255" s="134">
        <v>9000</v>
      </c>
      <c r="AB255" s="216">
        <f t="shared" ref="AB255" si="570">AA255-Y255</f>
        <v>0</v>
      </c>
      <c r="AC255" s="219">
        <f t="shared" ref="AC255" si="571">AA255-Y255</f>
        <v>0</v>
      </c>
      <c r="AD255" s="219"/>
      <c r="AE255" s="134">
        <v>9000</v>
      </c>
      <c r="AF255" s="213"/>
      <c r="AH255" s="18">
        <v>8530</v>
      </c>
      <c r="AI255" s="20">
        <f t="shared" si="562"/>
        <v>0.94777777777777783</v>
      </c>
      <c r="AK255" s="134">
        <v>9000</v>
      </c>
      <c r="AR255" s="18"/>
      <c r="AS255" s="18">
        <f t="shared" si="530"/>
        <v>9000</v>
      </c>
      <c r="AU255" s="18">
        <v>3000</v>
      </c>
      <c r="AV255" s="18">
        <f t="shared" si="531"/>
        <v>12000</v>
      </c>
      <c r="AX255" s="18"/>
      <c r="AY255" s="18">
        <f t="shared" si="532"/>
        <v>12000</v>
      </c>
      <c r="BB255" s="18">
        <f t="shared" si="533"/>
        <v>12000</v>
      </c>
      <c r="BD255" s="18">
        <v>2000</v>
      </c>
      <c r="BE255" s="18">
        <f t="shared" si="534"/>
        <v>14000</v>
      </c>
      <c r="BG255" s="18">
        <v>3000</v>
      </c>
      <c r="BH255" s="18">
        <f t="shared" si="535"/>
        <v>17000</v>
      </c>
      <c r="BJ255" s="18">
        <v>16825.900000000001</v>
      </c>
      <c r="BK255" s="279">
        <f t="shared" si="563"/>
        <v>0.9897588235294118</v>
      </c>
      <c r="BM255" s="289">
        <v>14000</v>
      </c>
      <c r="BN255" s="279">
        <f t="shared" si="559"/>
        <v>0.8320505886757914</v>
      </c>
      <c r="BO255" s="279">
        <f t="shared" si="560"/>
        <v>0.82352941176470584</v>
      </c>
      <c r="BQ255" s="289"/>
      <c r="BR255" s="18">
        <f t="shared" si="561"/>
        <v>14000</v>
      </c>
      <c r="BT255" s="349">
        <v>5000</v>
      </c>
      <c r="BU255" s="18">
        <f t="shared" si="540"/>
        <v>19000</v>
      </c>
      <c r="BW255" s="289"/>
      <c r="BX255" s="18">
        <f t="shared" si="541"/>
        <v>19000</v>
      </c>
      <c r="BZ255" s="289"/>
      <c r="CA255" s="18">
        <f t="shared" si="542"/>
        <v>19000</v>
      </c>
      <c r="CC255" s="289"/>
      <c r="CD255" s="18">
        <f t="shared" si="543"/>
        <v>19000</v>
      </c>
      <c r="CF255" s="289"/>
      <c r="CG255" s="18">
        <f t="shared" si="544"/>
        <v>19000</v>
      </c>
      <c r="CI255" s="289"/>
      <c r="CJ255" s="18">
        <f t="shared" si="545"/>
        <v>19000</v>
      </c>
      <c r="CM255" s="18">
        <f t="shared" si="546"/>
        <v>19000</v>
      </c>
      <c r="CP255" s="18">
        <f t="shared" si="547"/>
        <v>19000</v>
      </c>
      <c r="CR255" s="327"/>
      <c r="CS255" s="18">
        <f t="shared" si="548"/>
        <v>19000</v>
      </c>
      <c r="CU255" s="349">
        <v>2000</v>
      </c>
      <c r="CV255" s="18">
        <f t="shared" si="549"/>
        <v>21000</v>
      </c>
      <c r="CX255" s="349"/>
      <c r="CY255" s="18">
        <f t="shared" si="550"/>
        <v>21000</v>
      </c>
      <c r="DA255" s="327">
        <v>20860</v>
      </c>
      <c r="DC255" s="327">
        <v>15000</v>
      </c>
    </row>
    <row r="256" spans="1:107" outlineLevel="1">
      <c r="A256" s="199" t="s">
        <v>78</v>
      </c>
      <c r="B256" s="199" t="s">
        <v>395</v>
      </c>
      <c r="C256" s="4" t="s">
        <v>426</v>
      </c>
      <c r="D256" s="52"/>
      <c r="E256" s="37"/>
      <c r="F256" s="52"/>
      <c r="G256" s="37"/>
      <c r="H256" s="56"/>
      <c r="M256" s="20"/>
      <c r="N256" s="20"/>
      <c r="U256" s="19"/>
      <c r="Y256" s="134"/>
      <c r="AA256" s="134">
        <v>18000</v>
      </c>
      <c r="AB256" s="216">
        <f t="shared" si="528"/>
        <v>18000</v>
      </c>
      <c r="AC256" s="219">
        <f t="shared" si="529"/>
        <v>18000</v>
      </c>
      <c r="AD256" s="219"/>
      <c r="AE256" s="134">
        <v>18000</v>
      </c>
      <c r="AF256" s="213"/>
      <c r="AH256" s="18">
        <v>6642.9</v>
      </c>
      <c r="AI256" s="20">
        <f t="shared" si="562"/>
        <v>0.36904999999999999</v>
      </c>
      <c r="AK256" s="134">
        <v>25000</v>
      </c>
      <c r="AP256" s="260">
        <v>18000</v>
      </c>
      <c r="AR256" s="18"/>
      <c r="AS256" s="18">
        <f t="shared" si="530"/>
        <v>25000</v>
      </c>
      <c r="AV256" s="18">
        <f t="shared" si="531"/>
        <v>25000</v>
      </c>
      <c r="AX256" s="18"/>
      <c r="AY256" s="18">
        <f t="shared" si="532"/>
        <v>25000</v>
      </c>
      <c r="BB256" s="18">
        <f t="shared" si="533"/>
        <v>25000</v>
      </c>
      <c r="BD256" s="18"/>
      <c r="BE256" s="18">
        <f t="shared" si="534"/>
        <v>25000</v>
      </c>
      <c r="BG256" s="18"/>
      <c r="BH256" s="18">
        <f t="shared" si="535"/>
        <v>25000</v>
      </c>
      <c r="BJ256" s="18">
        <v>21271.8</v>
      </c>
      <c r="BK256" s="279">
        <f t="shared" si="563"/>
        <v>0.85087199999999996</v>
      </c>
      <c r="BM256" s="289">
        <v>25000</v>
      </c>
      <c r="BN256" s="279">
        <f t="shared" si="559"/>
        <v>1.1752649047095216</v>
      </c>
      <c r="BO256" s="279">
        <f t="shared" si="560"/>
        <v>1</v>
      </c>
      <c r="BQ256" s="289"/>
      <c r="BR256" s="18">
        <f t="shared" si="561"/>
        <v>25000</v>
      </c>
      <c r="BT256" s="289"/>
      <c r="BU256" s="18">
        <f t="shared" si="540"/>
        <v>25000</v>
      </c>
      <c r="BW256" s="289"/>
      <c r="BX256" s="18">
        <f t="shared" si="541"/>
        <v>25000</v>
      </c>
      <c r="BZ256" s="289"/>
      <c r="CA256" s="18">
        <f t="shared" si="542"/>
        <v>25000</v>
      </c>
      <c r="CC256" s="289"/>
      <c r="CD256" s="18">
        <f t="shared" si="543"/>
        <v>25000</v>
      </c>
      <c r="CF256" s="289"/>
      <c r="CG256" s="18">
        <f t="shared" si="544"/>
        <v>25000</v>
      </c>
      <c r="CI256" s="289"/>
      <c r="CJ256" s="18">
        <f t="shared" si="545"/>
        <v>25000</v>
      </c>
      <c r="CM256" s="18">
        <f t="shared" si="546"/>
        <v>25000</v>
      </c>
      <c r="CO256" s="327"/>
      <c r="CP256" s="18">
        <f t="shared" si="547"/>
        <v>25000</v>
      </c>
      <c r="CR256" s="327"/>
      <c r="CS256" s="18">
        <f t="shared" si="548"/>
        <v>25000</v>
      </c>
      <c r="CU256" s="327"/>
      <c r="CV256" s="18">
        <f t="shared" si="549"/>
        <v>25000</v>
      </c>
      <c r="CX256" s="327"/>
      <c r="CY256" s="18">
        <f t="shared" si="550"/>
        <v>25000</v>
      </c>
      <c r="DA256" s="327">
        <v>23147.3</v>
      </c>
      <c r="DC256" s="327">
        <v>25000</v>
      </c>
    </row>
    <row r="257" spans="1:109" outlineLevel="1">
      <c r="A257" s="14" t="s">
        <v>78</v>
      </c>
      <c r="B257" s="14" t="s">
        <v>117</v>
      </c>
      <c r="C257" s="4" t="s">
        <v>118</v>
      </c>
      <c r="D257" s="52">
        <v>130000</v>
      </c>
      <c r="E257" s="37">
        <v>119.71</v>
      </c>
      <c r="F257" s="52">
        <v>230000</v>
      </c>
      <c r="G257" s="37">
        <v>67.66</v>
      </c>
      <c r="H257" s="56">
        <v>155628.76</v>
      </c>
      <c r="I257" s="40">
        <v>190000</v>
      </c>
      <c r="J257" s="17"/>
      <c r="L257" s="134">
        <v>150000</v>
      </c>
      <c r="M257" s="20">
        <f t="shared" si="525"/>
        <v>-0.34782608695652173</v>
      </c>
      <c r="N257" s="20">
        <f t="shared" si="523"/>
        <v>-0.21052631578947367</v>
      </c>
      <c r="Q257" s="134">
        <v>90700</v>
      </c>
      <c r="R257" s="18">
        <v>68676</v>
      </c>
      <c r="S257" s="134">
        <v>100500</v>
      </c>
      <c r="T257" s="18">
        <f t="shared" si="564"/>
        <v>9800</v>
      </c>
      <c r="U257" s="19">
        <f t="shared" si="565"/>
        <v>0.10804851157662632</v>
      </c>
      <c r="V257" s="160">
        <v>89000</v>
      </c>
      <c r="W257">
        <v>-5700</v>
      </c>
      <c r="X257">
        <v>-50000</v>
      </c>
      <c r="Y257" s="134">
        <v>100500</v>
      </c>
      <c r="AA257" s="134">
        <v>130000</v>
      </c>
      <c r="AB257" s="216">
        <f t="shared" si="528"/>
        <v>29500</v>
      </c>
      <c r="AC257" s="219">
        <f t="shared" si="529"/>
        <v>29500</v>
      </c>
      <c r="AD257" s="219"/>
      <c r="AE257" s="134">
        <v>130000</v>
      </c>
      <c r="AF257" s="213"/>
      <c r="AH257" s="18">
        <v>114240.16</v>
      </c>
      <c r="AI257" s="20">
        <f t="shared" si="562"/>
        <v>0.87877046153846161</v>
      </c>
      <c r="AK257" s="134">
        <v>120000</v>
      </c>
      <c r="AR257" s="18"/>
      <c r="AS257" s="18">
        <f t="shared" si="530"/>
        <v>120000</v>
      </c>
      <c r="AV257" s="18">
        <f t="shared" si="531"/>
        <v>120000</v>
      </c>
      <c r="AX257" s="18"/>
      <c r="AY257" s="18">
        <f t="shared" si="532"/>
        <v>120000</v>
      </c>
      <c r="BB257" s="18">
        <f t="shared" si="533"/>
        <v>120000</v>
      </c>
      <c r="BD257" s="18">
        <v>120000</v>
      </c>
      <c r="BE257" s="18">
        <f t="shared" si="534"/>
        <v>240000</v>
      </c>
      <c r="BG257" s="18">
        <v>-134200</v>
      </c>
      <c r="BH257" s="18">
        <f t="shared" si="535"/>
        <v>105800</v>
      </c>
      <c r="BJ257" s="18">
        <v>78030.95</v>
      </c>
      <c r="BK257" s="279">
        <f t="shared" si="563"/>
        <v>0.73753260869565218</v>
      </c>
      <c r="BM257" s="289">
        <v>70000</v>
      </c>
      <c r="BN257" s="279">
        <f t="shared" si="559"/>
        <v>0.89707994071583141</v>
      </c>
      <c r="BO257" s="279">
        <f t="shared" si="560"/>
        <v>0.66162570888468808</v>
      </c>
      <c r="BQ257" s="289"/>
      <c r="BR257" s="18">
        <f t="shared" si="561"/>
        <v>70000</v>
      </c>
      <c r="BT257" s="289"/>
      <c r="BU257" s="18">
        <f t="shared" si="540"/>
        <v>70000</v>
      </c>
      <c r="BW257" s="289">
        <v>20000</v>
      </c>
      <c r="BX257" s="18">
        <f t="shared" si="541"/>
        <v>90000</v>
      </c>
      <c r="BZ257" s="289"/>
      <c r="CA257" s="18">
        <f t="shared" si="542"/>
        <v>90000</v>
      </c>
      <c r="CC257" s="289"/>
      <c r="CD257" s="18">
        <f t="shared" si="543"/>
        <v>90000</v>
      </c>
      <c r="CF257" s="327">
        <v>10000</v>
      </c>
      <c r="CG257" s="18">
        <f t="shared" si="544"/>
        <v>100000</v>
      </c>
      <c r="CH257" s="206">
        <v>16832.72</v>
      </c>
      <c r="CI257" s="349">
        <v>30000</v>
      </c>
      <c r="CJ257" s="18">
        <f t="shared" si="545"/>
        <v>130000</v>
      </c>
      <c r="CL257" s="327">
        <v>-1000</v>
      </c>
      <c r="CM257" s="18">
        <f t="shared" si="546"/>
        <v>129000</v>
      </c>
      <c r="CO257" s="327"/>
      <c r="CP257" s="18">
        <f t="shared" si="547"/>
        <v>129000</v>
      </c>
      <c r="CR257" s="327"/>
      <c r="CS257" s="18">
        <f t="shared" si="548"/>
        <v>129000</v>
      </c>
      <c r="CU257" s="327"/>
      <c r="CV257" s="18">
        <f t="shared" si="549"/>
        <v>129000</v>
      </c>
      <c r="CX257" s="327"/>
      <c r="CY257" s="18">
        <f t="shared" si="550"/>
        <v>129000</v>
      </c>
      <c r="DA257" s="327">
        <v>126778.92</v>
      </c>
      <c r="DC257" s="327">
        <v>100000</v>
      </c>
    </row>
    <row r="258" spans="1:109" outlineLevel="1">
      <c r="A258" s="14" t="s">
        <v>78</v>
      </c>
      <c r="B258" s="14" t="s">
        <v>119</v>
      </c>
      <c r="C258" s="4" t="s">
        <v>120</v>
      </c>
      <c r="D258" s="52">
        <v>180000</v>
      </c>
      <c r="E258" s="37">
        <v>0.11</v>
      </c>
      <c r="F258" s="52">
        <v>180000</v>
      </c>
      <c r="G258" s="37">
        <v>0.11</v>
      </c>
      <c r="H258" s="56">
        <v>199</v>
      </c>
      <c r="I258" s="40">
        <v>199</v>
      </c>
      <c r="J258" s="17"/>
      <c r="L258" s="134">
        <v>10000</v>
      </c>
      <c r="M258" s="20">
        <f t="shared" si="525"/>
        <v>-0.94444444444444442</v>
      </c>
      <c r="N258" s="20">
        <f t="shared" si="523"/>
        <v>49.251256281407038</v>
      </c>
      <c r="Q258" s="134">
        <v>24600</v>
      </c>
      <c r="R258" s="18">
        <v>21766</v>
      </c>
      <c r="S258" s="134">
        <v>50000</v>
      </c>
      <c r="T258" s="18">
        <f t="shared" si="564"/>
        <v>25400</v>
      </c>
      <c r="U258" s="19">
        <f t="shared" si="565"/>
        <v>1.0325203252032522</v>
      </c>
      <c r="V258" s="159">
        <v>30000</v>
      </c>
      <c r="W258">
        <v>20000</v>
      </c>
      <c r="Y258" s="134">
        <v>50000</v>
      </c>
      <c r="AA258" s="134">
        <v>60000</v>
      </c>
      <c r="AB258" s="216">
        <f t="shared" si="528"/>
        <v>10000</v>
      </c>
      <c r="AC258" s="219">
        <f t="shared" si="529"/>
        <v>10000</v>
      </c>
      <c r="AD258" s="219"/>
      <c r="AE258" s="134">
        <v>60000</v>
      </c>
      <c r="AF258" s="213"/>
      <c r="AH258" s="18">
        <v>55195.06</v>
      </c>
      <c r="AI258" s="20">
        <f t="shared" si="562"/>
        <v>0.91991766666666663</v>
      </c>
      <c r="AK258" s="134">
        <v>60500</v>
      </c>
      <c r="AR258" s="18"/>
      <c r="AS258" s="18">
        <f t="shared" si="530"/>
        <v>60500</v>
      </c>
      <c r="AV258" s="18">
        <f t="shared" si="531"/>
        <v>60500</v>
      </c>
      <c r="AX258" s="18"/>
      <c r="AY258" s="18">
        <f t="shared" si="532"/>
        <v>60500</v>
      </c>
      <c r="BB258" s="18">
        <f t="shared" si="533"/>
        <v>60500</v>
      </c>
      <c r="BD258" s="18">
        <v>-15000</v>
      </c>
      <c r="BE258" s="18">
        <f t="shared" si="534"/>
        <v>45500</v>
      </c>
      <c r="BG258" s="18"/>
      <c r="BH258" s="18">
        <f t="shared" si="535"/>
        <v>45500</v>
      </c>
      <c r="BJ258" s="18">
        <v>45051.06</v>
      </c>
      <c r="BK258" s="279">
        <f t="shared" si="563"/>
        <v>0.99013318681318674</v>
      </c>
      <c r="BM258" s="289">
        <v>40000</v>
      </c>
      <c r="BN258" s="279">
        <f t="shared" si="559"/>
        <v>0.88788143941563202</v>
      </c>
      <c r="BO258" s="279">
        <f t="shared" si="560"/>
        <v>0.87912087912087911</v>
      </c>
      <c r="BQ258" s="289"/>
      <c r="BR258" s="18">
        <f t="shared" ref="BR258:BR264" si="572">BM258+BQ258</f>
        <v>40000</v>
      </c>
      <c r="BT258" s="289"/>
      <c r="BU258" s="18">
        <f t="shared" si="540"/>
        <v>40000</v>
      </c>
      <c r="BW258" s="289"/>
      <c r="BX258" s="18">
        <f t="shared" si="541"/>
        <v>40000</v>
      </c>
      <c r="BZ258" s="289"/>
      <c r="CA258" s="18">
        <f t="shared" si="542"/>
        <v>40000</v>
      </c>
      <c r="CC258" s="289"/>
      <c r="CD258" s="18">
        <f t="shared" si="543"/>
        <v>40000</v>
      </c>
      <c r="CF258" s="289"/>
      <c r="CG258" s="18">
        <f t="shared" si="544"/>
        <v>40000</v>
      </c>
      <c r="CI258" s="327"/>
      <c r="CJ258" s="18">
        <f t="shared" si="545"/>
        <v>40000</v>
      </c>
      <c r="CM258" s="18">
        <f t="shared" si="546"/>
        <v>40000</v>
      </c>
      <c r="CO258" s="327"/>
      <c r="CP258" s="18">
        <f t="shared" si="547"/>
        <v>40000</v>
      </c>
      <c r="CR258" s="327"/>
      <c r="CS258" s="18">
        <f t="shared" si="548"/>
        <v>40000</v>
      </c>
      <c r="CU258" s="349">
        <v>12000</v>
      </c>
      <c r="CV258" s="18">
        <f t="shared" si="549"/>
        <v>52000</v>
      </c>
      <c r="CX258" s="349"/>
      <c r="CY258" s="18">
        <f t="shared" si="550"/>
        <v>52000</v>
      </c>
      <c r="DA258" s="327">
        <v>51777.52</v>
      </c>
      <c r="DC258" s="327">
        <v>50000</v>
      </c>
    </row>
    <row r="259" spans="1:109" outlineLevel="1">
      <c r="A259" s="14" t="s">
        <v>78</v>
      </c>
      <c r="B259" s="14" t="s">
        <v>235</v>
      </c>
      <c r="C259" s="4" t="s">
        <v>236</v>
      </c>
      <c r="D259" s="52">
        <v>55200</v>
      </c>
      <c r="E259" s="37">
        <v>29.93</v>
      </c>
      <c r="F259" s="52">
        <v>55200</v>
      </c>
      <c r="G259" s="37">
        <v>29.93</v>
      </c>
      <c r="H259" s="56">
        <v>16523</v>
      </c>
      <c r="I259" s="18">
        <v>32000</v>
      </c>
      <c r="K259" t="s">
        <v>336</v>
      </c>
      <c r="L259" s="134">
        <v>20000</v>
      </c>
      <c r="M259" s="20">
        <f t="shared" si="525"/>
        <v>-0.6376811594202898</v>
      </c>
      <c r="N259" s="20">
        <f t="shared" si="523"/>
        <v>-0.375</v>
      </c>
      <c r="Q259" s="134">
        <v>20000</v>
      </c>
      <c r="R259" s="18">
        <v>6643</v>
      </c>
      <c r="S259" s="134">
        <v>17000</v>
      </c>
      <c r="T259" s="18">
        <f t="shared" si="564"/>
        <v>-3000</v>
      </c>
      <c r="U259" s="19">
        <f t="shared" si="565"/>
        <v>-0.15000000000000002</v>
      </c>
      <c r="Y259" s="134">
        <v>17000</v>
      </c>
      <c r="AA259" s="134">
        <v>29000</v>
      </c>
      <c r="AB259" s="216">
        <f t="shared" si="528"/>
        <v>12000</v>
      </c>
      <c r="AC259" s="219">
        <f t="shared" si="529"/>
        <v>12000</v>
      </c>
      <c r="AD259" s="219"/>
      <c r="AE259" s="134">
        <v>29000</v>
      </c>
      <c r="AF259" s="213"/>
      <c r="AH259" s="18">
        <v>28695</v>
      </c>
      <c r="AI259" s="20">
        <f t="shared" si="562"/>
        <v>0.98948275862068968</v>
      </c>
      <c r="AK259" s="134">
        <v>13000</v>
      </c>
      <c r="AP259" s="260">
        <v>13000</v>
      </c>
      <c r="AR259" s="18"/>
      <c r="AS259" s="18">
        <f t="shared" si="530"/>
        <v>13000</v>
      </c>
      <c r="AV259" s="18">
        <f t="shared" si="531"/>
        <v>13000</v>
      </c>
      <c r="AX259" s="18"/>
      <c r="AY259" s="18">
        <f t="shared" si="532"/>
        <v>13000</v>
      </c>
      <c r="BA259" s="269">
        <v>2000</v>
      </c>
      <c r="BB259" s="18">
        <f t="shared" si="533"/>
        <v>15000</v>
      </c>
      <c r="BD259" s="18"/>
      <c r="BE259" s="18">
        <f t="shared" si="534"/>
        <v>15000</v>
      </c>
      <c r="BG259" s="18"/>
      <c r="BH259" s="18">
        <f t="shared" si="535"/>
        <v>15000</v>
      </c>
      <c r="BJ259" s="18">
        <v>14038.9</v>
      </c>
      <c r="BK259" s="279">
        <f t="shared" si="563"/>
        <v>0.93592666666666668</v>
      </c>
      <c r="BM259" s="289">
        <v>15000</v>
      </c>
      <c r="BN259" s="279">
        <f t="shared" si="559"/>
        <v>1.0684597796123627</v>
      </c>
      <c r="BO259" s="279">
        <f t="shared" si="560"/>
        <v>1</v>
      </c>
      <c r="BQ259" s="289"/>
      <c r="BR259" s="18">
        <f t="shared" si="572"/>
        <v>15000</v>
      </c>
      <c r="BT259" s="289"/>
      <c r="BU259" s="18">
        <f t="shared" si="540"/>
        <v>15000</v>
      </c>
      <c r="BW259" s="289"/>
      <c r="BX259" s="18">
        <f t="shared" si="541"/>
        <v>15000</v>
      </c>
      <c r="BZ259" s="289"/>
      <c r="CA259" s="18">
        <f t="shared" si="542"/>
        <v>15000</v>
      </c>
      <c r="CC259" s="289"/>
      <c r="CD259" s="18">
        <f t="shared" si="543"/>
        <v>15000</v>
      </c>
      <c r="CF259" s="289"/>
      <c r="CG259" s="18">
        <f t="shared" si="544"/>
        <v>15000</v>
      </c>
      <c r="CI259" s="349">
        <v>-5000</v>
      </c>
      <c r="CJ259" s="18">
        <f t="shared" si="545"/>
        <v>10000</v>
      </c>
      <c r="CM259" s="18">
        <f t="shared" si="546"/>
        <v>10000</v>
      </c>
      <c r="CO259" s="327"/>
      <c r="CP259" s="18">
        <f t="shared" si="547"/>
        <v>10000</v>
      </c>
      <c r="CR259" s="327"/>
      <c r="CS259" s="18">
        <f t="shared" si="548"/>
        <v>10000</v>
      </c>
      <c r="CU259" s="349">
        <v>-10000</v>
      </c>
      <c r="CV259" s="18">
        <f t="shared" si="549"/>
        <v>0</v>
      </c>
      <c r="CX259" s="349"/>
      <c r="CY259" s="18">
        <f t="shared" si="550"/>
        <v>0</v>
      </c>
      <c r="DA259" s="327">
        <v>0</v>
      </c>
      <c r="DC259" s="327">
        <v>0</v>
      </c>
      <c r="DE259" t="s">
        <v>467</v>
      </c>
    </row>
    <row r="260" spans="1:109" outlineLevel="1">
      <c r="A260" s="14" t="s">
        <v>78</v>
      </c>
      <c r="B260" s="14" t="s">
        <v>208</v>
      </c>
      <c r="C260" s="4" t="s">
        <v>209</v>
      </c>
      <c r="D260" s="52">
        <v>15000</v>
      </c>
      <c r="E260" s="37">
        <v>121.93</v>
      </c>
      <c r="F260" s="52">
        <v>20000</v>
      </c>
      <c r="G260" s="37">
        <v>91.45</v>
      </c>
      <c r="H260" s="56">
        <v>18289</v>
      </c>
      <c r="I260" s="40">
        <v>20000</v>
      </c>
      <c r="J260" s="17"/>
      <c r="K260" t="s">
        <v>336</v>
      </c>
      <c r="L260" s="134">
        <v>22000</v>
      </c>
      <c r="M260" s="20">
        <f t="shared" si="525"/>
        <v>0.10000000000000009</v>
      </c>
      <c r="N260" s="20">
        <f t="shared" si="523"/>
        <v>0.10000000000000009</v>
      </c>
      <c r="Q260" s="134">
        <v>18410</v>
      </c>
      <c r="R260" s="18">
        <v>9324</v>
      </c>
      <c r="S260" s="134">
        <v>19000</v>
      </c>
      <c r="T260" s="18">
        <f t="shared" si="564"/>
        <v>590</v>
      </c>
      <c r="U260" s="19">
        <f t="shared" si="565"/>
        <v>3.2047800108636615E-2</v>
      </c>
      <c r="Y260" s="134">
        <v>19000</v>
      </c>
      <c r="AA260" s="134">
        <v>16500</v>
      </c>
      <c r="AB260" s="216">
        <f t="shared" si="528"/>
        <v>-2500</v>
      </c>
      <c r="AC260" s="219">
        <f t="shared" si="529"/>
        <v>-2500</v>
      </c>
      <c r="AD260" s="219"/>
      <c r="AE260" s="134">
        <v>16500</v>
      </c>
      <c r="AF260" s="213"/>
      <c r="AG260" t="s">
        <v>441</v>
      </c>
      <c r="AH260" s="18">
        <v>15149</v>
      </c>
      <c r="AI260" s="20">
        <f t="shared" si="562"/>
        <v>0.91812121212121212</v>
      </c>
      <c r="AK260" s="134">
        <v>16000</v>
      </c>
      <c r="AR260" s="18"/>
      <c r="AS260" s="18">
        <f t="shared" si="530"/>
        <v>16000</v>
      </c>
      <c r="AV260" s="18">
        <f t="shared" si="531"/>
        <v>16000</v>
      </c>
      <c r="AX260" s="18"/>
      <c r="AY260" s="18">
        <f t="shared" si="532"/>
        <v>16000</v>
      </c>
      <c r="BB260" s="18">
        <f t="shared" si="533"/>
        <v>16000</v>
      </c>
      <c r="BD260" s="18">
        <v>-6000</v>
      </c>
      <c r="BE260" s="18">
        <f t="shared" si="534"/>
        <v>10000</v>
      </c>
      <c r="BG260" s="18"/>
      <c r="BH260" s="18">
        <f t="shared" si="535"/>
        <v>10000</v>
      </c>
      <c r="BJ260" s="18">
        <v>8691</v>
      </c>
      <c r="BK260" s="279">
        <f t="shared" si="563"/>
        <v>0.86909999999999998</v>
      </c>
      <c r="BM260" s="289">
        <v>9000</v>
      </c>
      <c r="BN260" s="279">
        <f t="shared" si="559"/>
        <v>1.0355540214014498</v>
      </c>
      <c r="BO260" s="279">
        <f t="shared" si="560"/>
        <v>0.9</v>
      </c>
      <c r="BQ260" s="289"/>
      <c r="BR260" s="18">
        <f t="shared" si="572"/>
        <v>9000</v>
      </c>
      <c r="BT260" s="289"/>
      <c r="BU260" s="18">
        <f t="shared" si="540"/>
        <v>9000</v>
      </c>
      <c r="BW260" s="289">
        <v>6000</v>
      </c>
      <c r="BX260" s="18">
        <f t="shared" si="541"/>
        <v>15000</v>
      </c>
      <c r="BZ260" s="289"/>
      <c r="CA260" s="18">
        <f t="shared" si="542"/>
        <v>15000</v>
      </c>
      <c r="CC260" s="289"/>
      <c r="CD260" s="18">
        <f t="shared" si="543"/>
        <v>15000</v>
      </c>
      <c r="CF260" s="289"/>
      <c r="CG260" s="18">
        <f t="shared" si="544"/>
        <v>15000</v>
      </c>
      <c r="CI260" s="349">
        <v>5000</v>
      </c>
      <c r="CJ260" s="18">
        <f t="shared" si="545"/>
        <v>20000</v>
      </c>
      <c r="CM260" s="18">
        <f t="shared" si="546"/>
        <v>20000</v>
      </c>
      <c r="CO260" s="327"/>
      <c r="CP260" s="18">
        <f t="shared" si="547"/>
        <v>20000</v>
      </c>
      <c r="CR260" s="327"/>
      <c r="CS260" s="18">
        <f t="shared" si="548"/>
        <v>20000</v>
      </c>
      <c r="CU260" s="327"/>
      <c r="CV260" s="18">
        <f t="shared" si="549"/>
        <v>20000</v>
      </c>
      <c r="CX260" s="327"/>
      <c r="CY260" s="18">
        <f t="shared" si="550"/>
        <v>20000</v>
      </c>
      <c r="DA260" s="327">
        <v>18107</v>
      </c>
      <c r="DC260" s="327">
        <v>20000</v>
      </c>
    </row>
    <row r="261" spans="1:109" outlineLevel="1">
      <c r="A261" s="14" t="s">
        <v>78</v>
      </c>
      <c r="B261" s="14" t="s">
        <v>150</v>
      </c>
      <c r="C261" s="4" t="s">
        <v>151</v>
      </c>
      <c r="D261" s="52">
        <v>3000</v>
      </c>
      <c r="E261" s="37">
        <v>116.43</v>
      </c>
      <c r="F261" s="52">
        <v>3000</v>
      </c>
      <c r="G261" s="37">
        <v>116.43</v>
      </c>
      <c r="H261" s="56">
        <v>3493</v>
      </c>
      <c r="I261" s="40">
        <v>4000</v>
      </c>
      <c r="J261" s="17"/>
      <c r="L261" s="134">
        <v>4000</v>
      </c>
      <c r="M261" s="20">
        <f t="shared" si="525"/>
        <v>0.33333333333333326</v>
      </c>
      <c r="N261" s="20">
        <f t="shared" si="523"/>
        <v>0</v>
      </c>
      <c r="Q261" s="134">
        <v>4000</v>
      </c>
      <c r="R261" s="18">
        <v>2789</v>
      </c>
      <c r="S261" s="134">
        <v>7000</v>
      </c>
      <c r="T261" s="18">
        <f t="shared" si="564"/>
        <v>3000</v>
      </c>
      <c r="U261" s="19">
        <f t="shared" si="565"/>
        <v>0.75</v>
      </c>
      <c r="Y261" s="134">
        <v>7000</v>
      </c>
      <c r="AA261" s="134">
        <v>8000</v>
      </c>
      <c r="AB261" s="216">
        <f t="shared" si="528"/>
        <v>1000</v>
      </c>
      <c r="AC261" s="219">
        <f t="shared" si="529"/>
        <v>1000</v>
      </c>
      <c r="AD261" s="219"/>
      <c r="AE261" s="134">
        <v>8000</v>
      </c>
      <c r="AF261" s="213"/>
      <c r="AH261" s="18">
        <v>5038</v>
      </c>
      <c r="AI261" s="20">
        <f t="shared" si="562"/>
        <v>0.62975000000000003</v>
      </c>
      <c r="AK261" s="134">
        <v>6000</v>
      </c>
      <c r="AR261" s="18"/>
      <c r="AS261" s="18">
        <f t="shared" si="530"/>
        <v>6000</v>
      </c>
      <c r="AV261" s="18">
        <f t="shared" si="531"/>
        <v>6000</v>
      </c>
      <c r="AX261" s="18"/>
      <c r="AY261" s="18">
        <f t="shared" si="532"/>
        <v>6000</v>
      </c>
      <c r="BB261" s="18">
        <f t="shared" si="533"/>
        <v>6000</v>
      </c>
      <c r="BD261" s="18"/>
      <c r="BE261" s="18">
        <f t="shared" si="534"/>
        <v>6000</v>
      </c>
      <c r="BG261" s="18"/>
      <c r="BH261" s="18">
        <f t="shared" si="535"/>
        <v>6000</v>
      </c>
      <c r="BJ261" s="18">
        <v>3598.4</v>
      </c>
      <c r="BK261" s="279">
        <f t="shared" si="563"/>
        <v>0.59973333333333334</v>
      </c>
      <c r="BM261" s="289">
        <v>5000</v>
      </c>
      <c r="BN261" s="279">
        <f t="shared" si="559"/>
        <v>1.3895064473099155</v>
      </c>
      <c r="BO261" s="279">
        <f t="shared" si="560"/>
        <v>0.83333333333333337</v>
      </c>
      <c r="BQ261" s="289"/>
      <c r="BR261" s="18">
        <f t="shared" si="572"/>
        <v>5000</v>
      </c>
      <c r="BT261" s="289"/>
      <c r="BU261" s="18">
        <f t="shared" si="540"/>
        <v>5000</v>
      </c>
      <c r="BW261" s="289">
        <v>4000</v>
      </c>
      <c r="BX261" s="18">
        <f t="shared" si="541"/>
        <v>9000</v>
      </c>
      <c r="BZ261" s="289"/>
      <c r="CA261" s="18">
        <f t="shared" si="542"/>
        <v>9000</v>
      </c>
      <c r="CC261" s="289"/>
      <c r="CD261" s="18">
        <f t="shared" si="543"/>
        <v>9000</v>
      </c>
      <c r="CF261" s="327">
        <v>10000</v>
      </c>
      <c r="CG261" s="18">
        <f t="shared" si="544"/>
        <v>19000</v>
      </c>
      <c r="CI261" s="327"/>
      <c r="CJ261" s="18">
        <f t="shared" si="545"/>
        <v>19000</v>
      </c>
      <c r="CM261" s="18">
        <f t="shared" si="546"/>
        <v>19000</v>
      </c>
      <c r="CO261" s="327"/>
      <c r="CP261" s="18">
        <f t="shared" si="547"/>
        <v>19000</v>
      </c>
      <c r="CR261" s="327"/>
      <c r="CS261" s="18">
        <f t="shared" si="548"/>
        <v>19000</v>
      </c>
      <c r="CU261" s="349">
        <v>-2000</v>
      </c>
      <c r="CV261" s="18">
        <f t="shared" si="549"/>
        <v>17000</v>
      </c>
      <c r="CX261" s="349"/>
      <c r="CY261" s="18">
        <f t="shared" si="550"/>
        <v>17000</v>
      </c>
      <c r="DA261" s="327">
        <v>16512</v>
      </c>
      <c r="DC261" s="327">
        <v>20000</v>
      </c>
    </row>
    <row r="262" spans="1:109" outlineLevel="1">
      <c r="A262" s="14" t="s">
        <v>78</v>
      </c>
      <c r="B262" s="14" t="s">
        <v>237</v>
      </c>
      <c r="C262" s="4" t="s">
        <v>238</v>
      </c>
      <c r="D262" s="52">
        <v>0</v>
      </c>
      <c r="E262" s="37">
        <v>0</v>
      </c>
      <c r="F262" s="52">
        <v>3750</v>
      </c>
      <c r="G262" s="37">
        <v>100</v>
      </c>
      <c r="H262" s="56">
        <v>3750</v>
      </c>
      <c r="I262" s="40">
        <v>3750</v>
      </c>
      <c r="J262" s="17"/>
      <c r="L262" s="134">
        <v>0</v>
      </c>
      <c r="M262" s="20">
        <f t="shared" si="525"/>
        <v>-1</v>
      </c>
      <c r="N262" s="20">
        <f t="shared" si="523"/>
        <v>-1</v>
      </c>
      <c r="U262" s="19"/>
      <c r="Y262" s="134"/>
      <c r="AA262" s="134">
        <v>0</v>
      </c>
      <c r="AB262" s="216">
        <f t="shared" si="528"/>
        <v>0</v>
      </c>
      <c r="AC262" s="219">
        <f t="shared" si="529"/>
        <v>0</v>
      </c>
      <c r="AD262" s="219"/>
      <c r="AE262" s="134">
        <v>0</v>
      </c>
      <c r="AF262" s="213"/>
      <c r="AH262" s="18">
        <v>0</v>
      </c>
      <c r="AI262" s="20" t="e">
        <f t="shared" si="562"/>
        <v>#DIV/0!</v>
      </c>
      <c r="AR262" s="18"/>
      <c r="AS262" s="18">
        <f t="shared" si="530"/>
        <v>0</v>
      </c>
      <c r="AV262" s="18">
        <f t="shared" si="531"/>
        <v>0</v>
      </c>
      <c r="AX262" s="18"/>
      <c r="AY262" s="18">
        <f t="shared" si="532"/>
        <v>0</v>
      </c>
      <c r="BB262" s="18">
        <f t="shared" si="533"/>
        <v>0</v>
      </c>
      <c r="BD262" s="18"/>
      <c r="BE262" s="18">
        <f t="shared" si="534"/>
        <v>0</v>
      </c>
      <c r="BG262" s="18"/>
      <c r="BH262" s="18">
        <f t="shared" si="535"/>
        <v>0</v>
      </c>
      <c r="BJ262" s="18">
        <v>0</v>
      </c>
      <c r="BK262" s="279" t="e">
        <f t="shared" si="563"/>
        <v>#DIV/0!</v>
      </c>
      <c r="BM262" s="289">
        <v>0</v>
      </c>
      <c r="BN262" s="279" t="e">
        <f t="shared" si="559"/>
        <v>#DIV/0!</v>
      </c>
      <c r="BO262" s="279" t="e">
        <f t="shared" si="560"/>
        <v>#DIV/0!</v>
      </c>
      <c r="BQ262" s="289"/>
      <c r="BR262" s="18">
        <f t="shared" si="572"/>
        <v>0</v>
      </c>
      <c r="BT262" s="289"/>
      <c r="BU262" s="18">
        <f t="shared" si="540"/>
        <v>0</v>
      </c>
      <c r="BW262" s="289"/>
      <c r="BX262" s="18">
        <f t="shared" si="541"/>
        <v>0</v>
      </c>
      <c r="BZ262" s="289"/>
      <c r="CA262" s="18">
        <f t="shared" si="542"/>
        <v>0</v>
      </c>
      <c r="CC262" s="289"/>
      <c r="CD262" s="18">
        <f t="shared" si="543"/>
        <v>0</v>
      </c>
      <c r="CF262" s="289"/>
      <c r="CG262" s="18">
        <f t="shared" si="544"/>
        <v>0</v>
      </c>
      <c r="CI262" s="289"/>
      <c r="CJ262" s="18">
        <f t="shared" si="545"/>
        <v>0</v>
      </c>
      <c r="CM262" s="18">
        <f t="shared" si="546"/>
        <v>0</v>
      </c>
      <c r="CP262" s="18">
        <f t="shared" si="547"/>
        <v>0</v>
      </c>
      <c r="CS262" s="18">
        <f t="shared" si="548"/>
        <v>0</v>
      </c>
      <c r="CV262" s="18">
        <f t="shared" si="549"/>
        <v>0</v>
      </c>
      <c r="CY262" s="18">
        <f t="shared" si="550"/>
        <v>0</v>
      </c>
      <c r="DA262" s="289">
        <v>0</v>
      </c>
    </row>
    <row r="263" spans="1:109" outlineLevel="1">
      <c r="A263" s="14" t="s">
        <v>78</v>
      </c>
      <c r="B263" s="14" t="s">
        <v>152</v>
      </c>
      <c r="C263" s="4" t="s">
        <v>153</v>
      </c>
      <c r="D263" s="52">
        <v>2000</v>
      </c>
      <c r="E263" s="37">
        <v>56.6</v>
      </c>
      <c r="F263" s="52">
        <v>2000</v>
      </c>
      <c r="G263" s="37">
        <v>56.6</v>
      </c>
      <c r="H263" s="56">
        <v>1132</v>
      </c>
      <c r="I263" s="18">
        <v>1132</v>
      </c>
      <c r="L263" s="134">
        <v>2000</v>
      </c>
      <c r="M263" s="20">
        <f t="shared" si="525"/>
        <v>0</v>
      </c>
      <c r="N263" s="20">
        <f t="shared" si="523"/>
        <v>0.76678445229681969</v>
      </c>
      <c r="Q263" s="134">
        <v>2000</v>
      </c>
      <c r="R263" s="18">
        <v>1381</v>
      </c>
      <c r="S263" s="134">
        <v>2000</v>
      </c>
      <c r="T263" s="18">
        <f t="shared" si="564"/>
        <v>0</v>
      </c>
      <c r="U263" s="19">
        <f t="shared" si="565"/>
        <v>0</v>
      </c>
      <c r="Y263" s="134">
        <v>2000</v>
      </c>
      <c r="AA263" s="134">
        <v>2000</v>
      </c>
      <c r="AB263" s="216">
        <f t="shared" si="528"/>
        <v>0</v>
      </c>
      <c r="AC263" s="219">
        <f t="shared" si="529"/>
        <v>0</v>
      </c>
      <c r="AD263" s="219"/>
      <c r="AE263" s="134">
        <v>2000</v>
      </c>
      <c r="AF263" s="213"/>
      <c r="AH263" s="18">
        <v>1380.7</v>
      </c>
      <c r="AI263" s="20">
        <f t="shared" ref="AI263:AI267" si="573">AH263/AE263</f>
        <v>0.69035000000000002</v>
      </c>
      <c r="AK263" s="134">
        <v>2000</v>
      </c>
      <c r="AR263" s="18"/>
      <c r="AS263" s="18">
        <f t="shared" si="530"/>
        <v>2000</v>
      </c>
      <c r="AV263" s="18">
        <f t="shared" si="531"/>
        <v>2000</v>
      </c>
      <c r="AX263" s="18"/>
      <c r="AY263" s="18">
        <f t="shared" si="532"/>
        <v>2000</v>
      </c>
      <c r="BB263" s="18">
        <f t="shared" si="533"/>
        <v>2000</v>
      </c>
      <c r="BD263" s="18"/>
      <c r="BE263" s="18">
        <f t="shared" si="534"/>
        <v>2000</v>
      </c>
      <c r="BG263" s="18">
        <v>-2000</v>
      </c>
      <c r="BH263" s="18">
        <f t="shared" si="535"/>
        <v>0</v>
      </c>
      <c r="BJ263" s="18">
        <v>0</v>
      </c>
      <c r="BK263" s="279" t="e">
        <f t="shared" si="563"/>
        <v>#DIV/0!</v>
      </c>
      <c r="BM263" s="289">
        <v>2000</v>
      </c>
      <c r="BN263" s="279" t="e">
        <f t="shared" si="559"/>
        <v>#DIV/0!</v>
      </c>
      <c r="BO263" s="279" t="e">
        <f t="shared" si="560"/>
        <v>#DIV/0!</v>
      </c>
      <c r="BQ263" s="289"/>
      <c r="BR263" s="18">
        <f t="shared" si="572"/>
        <v>2000</v>
      </c>
      <c r="BT263" s="289"/>
      <c r="BU263" s="18">
        <f t="shared" si="540"/>
        <v>2000</v>
      </c>
      <c r="BW263" s="289"/>
      <c r="BX263" s="18">
        <f t="shared" si="541"/>
        <v>2000</v>
      </c>
      <c r="BZ263" s="289"/>
      <c r="CA263" s="18">
        <f t="shared" si="542"/>
        <v>2000</v>
      </c>
      <c r="CC263" s="289"/>
      <c r="CD263" s="18">
        <f t="shared" si="543"/>
        <v>2000</v>
      </c>
      <c r="CF263" s="289"/>
      <c r="CG263" s="18">
        <f t="shared" si="544"/>
        <v>2000</v>
      </c>
      <c r="CI263" s="289"/>
      <c r="CJ263" s="18">
        <f t="shared" si="545"/>
        <v>2000</v>
      </c>
      <c r="CM263" s="18">
        <f t="shared" si="546"/>
        <v>2000</v>
      </c>
      <c r="CP263" s="18">
        <f t="shared" si="547"/>
        <v>2000</v>
      </c>
      <c r="CS263" s="18">
        <f t="shared" si="548"/>
        <v>2000</v>
      </c>
      <c r="CU263" s="349">
        <v>-2000</v>
      </c>
      <c r="CV263" s="18">
        <f t="shared" si="549"/>
        <v>0</v>
      </c>
      <c r="CX263" s="349"/>
      <c r="CY263" s="18">
        <f t="shared" si="550"/>
        <v>0</v>
      </c>
      <c r="DA263" s="289">
        <v>0</v>
      </c>
    </row>
    <row r="264" spans="1:109" outlineLevel="1">
      <c r="A264" s="14" t="s">
        <v>78</v>
      </c>
      <c r="B264" s="14" t="s">
        <v>136</v>
      </c>
      <c r="C264" s="4" t="s">
        <v>137</v>
      </c>
      <c r="D264" s="52">
        <v>3000</v>
      </c>
      <c r="E264" s="37">
        <v>97.13</v>
      </c>
      <c r="F264" s="52">
        <v>3000</v>
      </c>
      <c r="G264" s="37">
        <v>97.13</v>
      </c>
      <c r="H264" s="56">
        <v>2914</v>
      </c>
      <c r="I264" s="40">
        <v>2914</v>
      </c>
      <c r="J264" s="17"/>
      <c r="K264" t="s">
        <v>336</v>
      </c>
      <c r="L264" s="134">
        <v>6200</v>
      </c>
      <c r="M264" s="20">
        <f t="shared" si="525"/>
        <v>1.0666666666666669</v>
      </c>
      <c r="N264" s="20">
        <f t="shared" si="523"/>
        <v>1.1276595744680851</v>
      </c>
      <c r="Q264" s="134">
        <v>6300</v>
      </c>
      <c r="R264" s="18">
        <v>6279</v>
      </c>
      <c r="S264" s="134">
        <v>6300</v>
      </c>
      <c r="T264" s="18">
        <f t="shared" si="564"/>
        <v>0</v>
      </c>
      <c r="U264" s="19">
        <f t="shared" si="565"/>
        <v>0</v>
      </c>
      <c r="V264" s="159">
        <v>6300</v>
      </c>
      <c r="W264" s="18">
        <f>V264-L264</f>
        <v>100</v>
      </c>
      <c r="Y264" s="134">
        <v>6300</v>
      </c>
      <c r="AA264" s="134">
        <v>6300</v>
      </c>
      <c r="AB264" s="216">
        <f t="shared" si="528"/>
        <v>0</v>
      </c>
      <c r="AC264" s="219">
        <f t="shared" si="529"/>
        <v>0</v>
      </c>
      <c r="AD264" s="219"/>
      <c r="AE264" s="134">
        <v>6300</v>
      </c>
      <c r="AF264" s="213"/>
      <c r="AH264" s="18">
        <v>3279</v>
      </c>
      <c r="AI264" s="20">
        <f t="shared" si="573"/>
        <v>0.52047619047619043</v>
      </c>
      <c r="AK264" s="143">
        <v>6800</v>
      </c>
      <c r="AP264" s="260">
        <v>300</v>
      </c>
      <c r="AR264" s="18"/>
      <c r="AS264" s="18">
        <f t="shared" si="530"/>
        <v>6800</v>
      </c>
      <c r="AV264" s="18">
        <f t="shared" si="531"/>
        <v>6800</v>
      </c>
      <c r="AX264" s="18"/>
      <c r="AY264" s="18">
        <f t="shared" si="532"/>
        <v>6800</v>
      </c>
      <c r="BB264" s="18">
        <f t="shared" si="533"/>
        <v>6800</v>
      </c>
      <c r="BD264" s="18"/>
      <c r="BE264" s="18">
        <f t="shared" si="534"/>
        <v>6800</v>
      </c>
      <c r="BG264" s="18"/>
      <c r="BH264" s="18">
        <f t="shared" si="535"/>
        <v>6800</v>
      </c>
      <c r="BJ264" s="18">
        <v>6761</v>
      </c>
      <c r="BK264" s="279">
        <f t="shared" si="563"/>
        <v>0.99426470588235294</v>
      </c>
      <c r="BM264" s="289">
        <v>6800</v>
      </c>
      <c r="BN264" s="279">
        <f t="shared" si="559"/>
        <v>1.0057683774589559</v>
      </c>
      <c r="BO264" s="279">
        <f t="shared" si="560"/>
        <v>1</v>
      </c>
      <c r="BQ264" s="289"/>
      <c r="BR264" s="18">
        <f t="shared" si="572"/>
        <v>6800</v>
      </c>
      <c r="BT264" s="289"/>
      <c r="BU264" s="18">
        <f t="shared" si="540"/>
        <v>6800</v>
      </c>
      <c r="BW264" s="289"/>
      <c r="BX264" s="18">
        <f t="shared" si="541"/>
        <v>6800</v>
      </c>
      <c r="BZ264" s="289"/>
      <c r="CA264" s="18">
        <f t="shared" si="542"/>
        <v>6800</v>
      </c>
      <c r="CC264" s="289"/>
      <c r="CD264" s="18">
        <f t="shared" si="543"/>
        <v>6800</v>
      </c>
      <c r="CF264" s="289"/>
      <c r="CG264" s="18">
        <f t="shared" si="544"/>
        <v>6800</v>
      </c>
      <c r="CI264" s="289"/>
      <c r="CJ264" s="18">
        <f t="shared" si="545"/>
        <v>6800</v>
      </c>
      <c r="CM264" s="18">
        <f t="shared" si="546"/>
        <v>6800</v>
      </c>
      <c r="CP264" s="18">
        <f t="shared" si="547"/>
        <v>6800</v>
      </c>
      <c r="CS264" s="18">
        <f t="shared" si="548"/>
        <v>6800</v>
      </c>
      <c r="CV264" s="18">
        <f t="shared" si="549"/>
        <v>6800</v>
      </c>
      <c r="CY264" s="18">
        <f t="shared" si="550"/>
        <v>6800</v>
      </c>
      <c r="DA264" s="289">
        <v>6761</v>
      </c>
      <c r="DC264" s="289">
        <v>6800</v>
      </c>
    </row>
    <row r="265" spans="1:109" outlineLevel="1">
      <c r="A265" s="199" t="s">
        <v>78</v>
      </c>
      <c r="B265" s="199" t="s">
        <v>427</v>
      </c>
      <c r="C265" s="4" t="s">
        <v>428</v>
      </c>
      <c r="D265" s="52"/>
      <c r="E265" s="37"/>
      <c r="F265" s="52"/>
      <c r="G265" s="37"/>
      <c r="H265" s="56"/>
      <c r="I265" s="40"/>
      <c r="J265" s="17"/>
      <c r="M265" s="20"/>
      <c r="N265" s="20"/>
      <c r="U265" s="19"/>
      <c r="W265" s="18"/>
      <c r="Y265" s="134"/>
      <c r="AA265" s="134">
        <v>13000</v>
      </c>
      <c r="AB265" s="216">
        <f t="shared" si="528"/>
        <v>13000</v>
      </c>
      <c r="AC265" s="219">
        <f t="shared" si="529"/>
        <v>13000</v>
      </c>
      <c r="AD265" s="219"/>
      <c r="AE265" s="134">
        <v>13000</v>
      </c>
      <c r="AF265" s="213"/>
      <c r="AH265" s="18">
        <v>13000</v>
      </c>
      <c r="AI265" s="20">
        <f t="shared" si="573"/>
        <v>1</v>
      </c>
      <c r="AK265" s="134">
        <v>0</v>
      </c>
      <c r="AR265" s="18"/>
      <c r="AS265" s="18">
        <f t="shared" si="530"/>
        <v>0</v>
      </c>
      <c r="AV265" s="18">
        <f t="shared" si="531"/>
        <v>0</v>
      </c>
      <c r="AX265" s="18"/>
      <c r="AY265" s="18">
        <f t="shared" si="532"/>
        <v>0</v>
      </c>
      <c r="BB265" s="18">
        <f t="shared" si="533"/>
        <v>0</v>
      </c>
      <c r="BD265" s="18"/>
      <c r="BE265" s="18">
        <f t="shared" si="534"/>
        <v>0</v>
      </c>
      <c r="BG265" s="18"/>
      <c r="BH265" s="18">
        <f t="shared" si="535"/>
        <v>0</v>
      </c>
      <c r="BM265" s="289"/>
      <c r="BQ265" s="289"/>
      <c r="BR265" s="289"/>
      <c r="BT265" s="289"/>
      <c r="BU265" s="289"/>
      <c r="BW265" s="289"/>
      <c r="BX265" s="289"/>
      <c r="BZ265" s="289"/>
      <c r="CA265" s="289"/>
      <c r="CC265" s="289"/>
      <c r="CD265" s="289"/>
      <c r="CF265" s="289"/>
      <c r="CG265" s="289"/>
      <c r="CI265" s="289"/>
      <c r="CJ265" s="289"/>
      <c r="CM265" s="289"/>
      <c r="CP265" s="289"/>
      <c r="CS265" s="289"/>
      <c r="CV265" s="289"/>
      <c r="CY265" s="289"/>
    </row>
    <row r="266" spans="1:109" outlineLevel="1">
      <c r="A266" s="272" t="s">
        <v>78</v>
      </c>
      <c r="B266" s="272" t="s">
        <v>253</v>
      </c>
      <c r="C266" s="4" t="s">
        <v>503</v>
      </c>
      <c r="D266" s="52"/>
      <c r="E266" s="37"/>
      <c r="F266" s="52"/>
      <c r="G266" s="37"/>
      <c r="H266" s="56"/>
      <c r="I266" s="40"/>
      <c r="J266" s="17"/>
      <c r="M266" s="20"/>
      <c r="N266" s="20"/>
      <c r="U266" s="19"/>
      <c r="W266" s="18"/>
      <c r="Y266" s="134"/>
      <c r="AB266" s="216"/>
      <c r="AC266" s="219"/>
      <c r="AD266" s="219"/>
      <c r="AF266" s="213"/>
      <c r="AH266" s="18"/>
      <c r="AI266" s="20"/>
      <c r="AR266" s="18"/>
      <c r="AS266" s="18"/>
      <c r="AV266" s="18"/>
      <c r="AX266" s="18"/>
      <c r="AY266" s="18"/>
      <c r="BB266" s="18"/>
      <c r="BD266" s="18"/>
      <c r="BE266" s="18"/>
      <c r="BG266" s="18">
        <v>200</v>
      </c>
      <c r="BH266" s="18">
        <f t="shared" si="535"/>
        <v>200</v>
      </c>
      <c r="BJ266" s="18">
        <v>200</v>
      </c>
      <c r="BK266" s="279">
        <f t="shared" ref="BK266:BK267" si="574">BJ266/BH266</f>
        <v>1</v>
      </c>
      <c r="BM266" s="289">
        <v>0</v>
      </c>
      <c r="BQ266" s="289"/>
      <c r="BR266" s="18">
        <f t="shared" ref="BR266:BR267" si="575">BM266+BQ266</f>
        <v>0</v>
      </c>
      <c r="BT266" s="289"/>
      <c r="BU266" s="18">
        <f>BR266+BT266</f>
        <v>0</v>
      </c>
      <c r="BW266" s="289"/>
      <c r="BX266" s="18">
        <f>BU266+BW266</f>
        <v>0</v>
      </c>
      <c r="BZ266" s="289"/>
      <c r="CA266" s="18">
        <f>BX266+BZ266</f>
        <v>0</v>
      </c>
      <c r="CC266" s="289"/>
      <c r="CD266" s="18">
        <f>CA266+CC266</f>
        <v>0</v>
      </c>
      <c r="CF266" s="289"/>
      <c r="CG266" s="18">
        <f>CD266+CF266</f>
        <v>0</v>
      </c>
      <c r="CI266" s="289"/>
      <c r="CJ266" s="18">
        <f>CG266+CI266</f>
        <v>0</v>
      </c>
      <c r="CM266" s="18">
        <f>CJ266+CL266</f>
        <v>0</v>
      </c>
      <c r="CP266" s="18">
        <f>CM266+CO266</f>
        <v>0</v>
      </c>
      <c r="CS266" s="18">
        <f>CP266+CR266</f>
        <v>0</v>
      </c>
      <c r="CV266" s="18">
        <f>CS266+CU266</f>
        <v>0</v>
      </c>
      <c r="CY266" s="18">
        <f>CV266+CX266</f>
        <v>0</v>
      </c>
      <c r="DA266" s="289">
        <v>0</v>
      </c>
    </row>
    <row r="267" spans="1:109" outlineLevel="1">
      <c r="A267" s="14" t="s">
        <v>78</v>
      </c>
      <c r="B267" s="14" t="s">
        <v>199</v>
      </c>
      <c r="C267" s="4" t="s">
        <v>200</v>
      </c>
      <c r="D267" s="52">
        <v>3000</v>
      </c>
      <c r="E267" s="37">
        <v>0</v>
      </c>
      <c r="F267" s="52">
        <v>3000</v>
      </c>
      <c r="G267" s="37">
        <v>0</v>
      </c>
      <c r="H267" s="56">
        <v>0</v>
      </c>
      <c r="I267" s="40">
        <v>0</v>
      </c>
      <c r="J267" s="17"/>
      <c r="K267" t="s">
        <v>336</v>
      </c>
      <c r="L267" s="134">
        <v>3000</v>
      </c>
      <c r="M267" s="20">
        <f t="shared" si="525"/>
        <v>0</v>
      </c>
      <c r="N267" s="20" t="e">
        <f t="shared" si="523"/>
        <v>#DIV/0!</v>
      </c>
      <c r="Q267" s="134">
        <v>5200</v>
      </c>
      <c r="R267" s="18">
        <v>5147</v>
      </c>
      <c r="S267" s="134">
        <v>7500</v>
      </c>
      <c r="T267" s="18">
        <f t="shared" si="564"/>
        <v>2300</v>
      </c>
      <c r="U267" s="19">
        <f t="shared" si="565"/>
        <v>0.44230769230769229</v>
      </c>
      <c r="Y267" s="134">
        <v>7500</v>
      </c>
      <c r="AA267" s="134">
        <v>6500</v>
      </c>
      <c r="AB267" s="216">
        <f t="shared" si="528"/>
        <v>-1000</v>
      </c>
      <c r="AC267" s="219">
        <f t="shared" si="529"/>
        <v>-1000</v>
      </c>
      <c r="AD267" s="219"/>
      <c r="AE267" s="134">
        <v>6500</v>
      </c>
      <c r="AF267" s="213"/>
      <c r="AH267" s="18">
        <v>5147</v>
      </c>
      <c r="AI267" s="20">
        <f t="shared" si="573"/>
        <v>0.79184615384615387</v>
      </c>
      <c r="AK267" s="134">
        <v>6500</v>
      </c>
      <c r="AR267" s="18"/>
      <c r="AS267" s="18">
        <f t="shared" si="530"/>
        <v>6500</v>
      </c>
      <c r="AV267" s="18">
        <f t="shared" si="531"/>
        <v>6500</v>
      </c>
      <c r="AX267" s="18"/>
      <c r="AY267" s="18">
        <f t="shared" si="532"/>
        <v>6500</v>
      </c>
      <c r="BB267" s="18">
        <f t="shared" si="533"/>
        <v>6500</v>
      </c>
      <c r="BD267" s="18"/>
      <c r="BE267" s="18">
        <f t="shared" si="534"/>
        <v>6500</v>
      </c>
      <c r="BG267" s="18"/>
      <c r="BH267" s="18">
        <f t="shared" si="535"/>
        <v>6500</v>
      </c>
      <c r="BJ267" s="18">
        <v>0</v>
      </c>
      <c r="BK267" s="279">
        <f t="shared" si="574"/>
        <v>0</v>
      </c>
      <c r="BM267" s="289">
        <v>5500</v>
      </c>
      <c r="BQ267" s="289"/>
      <c r="BR267" s="18">
        <f t="shared" si="575"/>
        <v>5500</v>
      </c>
      <c r="BT267" s="289"/>
      <c r="BU267" s="18">
        <f>BR267+BT267</f>
        <v>5500</v>
      </c>
      <c r="BW267" s="289"/>
      <c r="BX267" s="18">
        <f>BU267+BW267</f>
        <v>5500</v>
      </c>
      <c r="BZ267" s="289"/>
      <c r="CA267" s="18">
        <f>BX267+BZ267</f>
        <v>5500</v>
      </c>
      <c r="CC267" s="289"/>
      <c r="CD267" s="18">
        <f>CA267+CC267</f>
        <v>5500</v>
      </c>
      <c r="CF267" s="289"/>
      <c r="CG267" s="18">
        <f>CD267+CF267</f>
        <v>5500</v>
      </c>
      <c r="CI267" s="289"/>
      <c r="CJ267" s="18">
        <f>CG267+CI267</f>
        <v>5500</v>
      </c>
      <c r="CM267" s="18">
        <f>CJ267+CL267</f>
        <v>5500</v>
      </c>
      <c r="CP267" s="18">
        <f>CM267+CO267</f>
        <v>5500</v>
      </c>
      <c r="CS267" s="18">
        <f>CP267+CR267</f>
        <v>5500</v>
      </c>
      <c r="CU267" s="349">
        <v>5000</v>
      </c>
      <c r="CV267" s="18">
        <f>CS267+CU267</f>
        <v>10500</v>
      </c>
      <c r="CX267" s="349"/>
      <c r="CY267" s="18">
        <f>CV267+CX267</f>
        <v>10500</v>
      </c>
      <c r="DA267" s="289">
        <v>10387</v>
      </c>
      <c r="DC267" s="289">
        <v>5000</v>
      </c>
    </row>
    <row r="268" spans="1:109" outlineLevel="1">
      <c r="A268" s="185" t="s">
        <v>78</v>
      </c>
      <c r="B268" s="185" t="s">
        <v>407</v>
      </c>
      <c r="C268" s="4" t="s">
        <v>408</v>
      </c>
      <c r="D268" s="52"/>
      <c r="E268" s="37"/>
      <c r="F268" s="52"/>
      <c r="G268" s="37"/>
      <c r="H268" s="56"/>
      <c r="I268" s="40"/>
      <c r="J268" s="17"/>
      <c r="M268" s="20"/>
      <c r="N268" s="20"/>
      <c r="S268" s="134">
        <v>8000</v>
      </c>
      <c r="U268" s="19"/>
      <c r="Y268" s="134">
        <v>8000</v>
      </c>
      <c r="AA268" s="134">
        <v>0</v>
      </c>
      <c r="AB268" s="216">
        <f t="shared" si="528"/>
        <v>-8000</v>
      </c>
      <c r="AC268" s="219">
        <f t="shared" si="529"/>
        <v>-8000</v>
      </c>
      <c r="AD268" s="219"/>
      <c r="AE268" s="134">
        <v>0</v>
      </c>
      <c r="AF268" s="213"/>
      <c r="AH268" s="18"/>
      <c r="AX268" s="18"/>
      <c r="BD268" s="18"/>
      <c r="BG268" s="18"/>
    </row>
    <row r="269" spans="1:109" ht="15.75" thickBot="1">
      <c r="A269" s="70" t="s">
        <v>78</v>
      </c>
      <c r="B269" s="71" t="s">
        <v>320</v>
      </c>
      <c r="C269" s="72" t="s">
        <v>355</v>
      </c>
      <c r="D269" s="73">
        <f>SUM(D238:D267)</f>
        <v>1052200</v>
      </c>
      <c r="E269" s="74"/>
      <c r="F269" s="73">
        <f>SUM(F238:F267)</f>
        <v>1213487.3399999999</v>
      </c>
      <c r="G269" s="74"/>
      <c r="H269" s="73"/>
      <c r="I269" s="73">
        <f>SUM(I238:I267)</f>
        <v>791510.77600000007</v>
      </c>
      <c r="J269" s="156" t="e">
        <f>I269/$I$304</f>
        <v>#REF!</v>
      </c>
      <c r="K269" s="76"/>
      <c r="L269" s="138">
        <f>SUM(L238:L267)</f>
        <v>779500</v>
      </c>
      <c r="M269" s="77">
        <f>L269/F269-1</f>
        <v>-0.35763647933896026</v>
      </c>
      <c r="N269" s="77">
        <f>L269/I269-1</f>
        <v>-1.517449460473308E-2</v>
      </c>
      <c r="O269" s="20">
        <f>L269/$L$304</f>
        <v>0.18085847203449601</v>
      </c>
      <c r="P269" s="20"/>
      <c r="Q269" s="138">
        <f>SUM(Q238:Q267)</f>
        <v>733510</v>
      </c>
      <c r="R269" s="138">
        <f>SUM(R238:R267)</f>
        <v>327220</v>
      </c>
      <c r="S269" s="138">
        <f>SUM(S238:S268)</f>
        <v>701800</v>
      </c>
      <c r="T269" s="138">
        <f>SUM(T238:T267)</f>
        <v>-39710</v>
      </c>
      <c r="U269" s="175">
        <f>S269/Q269-1</f>
        <v>-4.3230494471786396E-2</v>
      </c>
      <c r="Y269" s="138">
        <f>SUM(Y238:Y267)</f>
        <v>693800</v>
      </c>
      <c r="AA269" s="138">
        <f>SUM(AA238:AA267)</f>
        <v>765300</v>
      </c>
      <c r="AB269" s="138">
        <f>SUM(AB238:AB267)</f>
        <v>71500</v>
      </c>
      <c r="AE269" s="138">
        <f>SUM(AE238:AE267)</f>
        <v>773300</v>
      </c>
      <c r="AF269" s="213"/>
      <c r="AH269" s="138">
        <f>SUM(AH238:AH267)</f>
        <v>695904.53</v>
      </c>
      <c r="AI269" s="20">
        <f t="shared" ref="AI269:AI272" si="576">AH269/AE269</f>
        <v>0.89991533686796843</v>
      </c>
      <c r="AK269" s="138">
        <f>SUM(AK238:AK267)</f>
        <v>734700</v>
      </c>
      <c r="AL269" s="229">
        <f t="shared" ref="AL269:AL271" si="577">AK269/L269</f>
        <v>0.94252726106478513</v>
      </c>
      <c r="AM269" s="20">
        <f t="shared" ref="AM269:AM271" si="578">AK269/AE269</f>
        <v>0.9500840553472133</v>
      </c>
      <c r="AN269" s="20">
        <f t="shared" ref="AN269:AN271" si="579">AK269/AH269</f>
        <v>1.0557482647799403</v>
      </c>
      <c r="AS269" s="138">
        <f>SUM(AS238:AS267)</f>
        <v>734700</v>
      </c>
      <c r="AU269" s="138">
        <f>SUM(AU238:AU267)</f>
        <v>3000</v>
      </c>
      <c r="AV269" s="138">
        <f>SUM(AV238:AV267)</f>
        <v>737700</v>
      </c>
      <c r="AX269" s="138">
        <f>SUM(AX238:AX267)</f>
        <v>0</v>
      </c>
      <c r="AY269" s="138">
        <f>SUM(AY238:AY267)</f>
        <v>737700</v>
      </c>
      <c r="BA269" s="138">
        <f>SUM(BA238:BA267)</f>
        <v>2000</v>
      </c>
      <c r="BB269" s="138">
        <f>SUM(BB238:BB267)</f>
        <v>739700</v>
      </c>
      <c r="BD269" s="138">
        <f>SUM(BD238:BD267)</f>
        <v>116200</v>
      </c>
      <c r="BE269" s="138">
        <f>SUM(BE238:BE267)</f>
        <v>855900</v>
      </c>
      <c r="BG269" s="138">
        <f>SUM(BG238:BG267)</f>
        <v>-126500</v>
      </c>
      <c r="BH269" s="138">
        <f>SUM(BH238:BH267)</f>
        <v>729400</v>
      </c>
      <c r="BJ269" s="138">
        <f>SUM(BJ238:BJ267)</f>
        <v>643275.87000000011</v>
      </c>
      <c r="BK269" s="280">
        <f t="shared" ref="BK269" si="580">BJ269/BH269</f>
        <v>0.88192469152728281</v>
      </c>
      <c r="BM269" s="138">
        <f>SUM(BM238:BM267)</f>
        <v>785750</v>
      </c>
      <c r="BN269" s="280">
        <f t="shared" ref="BN269:BN271" si="581">BM269/BJ269</f>
        <v>1.2214821613004074</v>
      </c>
      <c r="BO269" s="280">
        <f t="shared" ref="BO269:BO271" si="582">BM269/BH269</f>
        <v>1.0772552783109406</v>
      </c>
      <c r="BQ269" s="138">
        <f>SUM(BQ238:BQ267)</f>
        <v>0</v>
      </c>
      <c r="BR269" s="138">
        <f>SUM(BR238:BR267)</f>
        <v>785750</v>
      </c>
      <c r="BT269" s="138">
        <f>SUM(BT238:BT267)</f>
        <v>5000</v>
      </c>
      <c r="BU269" s="138">
        <f>SUM(BU238:BU267)</f>
        <v>790750</v>
      </c>
      <c r="BW269" s="138">
        <f>SUM(BW238:BW267)</f>
        <v>90000</v>
      </c>
      <c r="BX269" s="138">
        <f>SUM(BX238:BX267)</f>
        <v>880750</v>
      </c>
      <c r="BZ269" s="138">
        <f>SUM(BZ238:BZ267)</f>
        <v>0</v>
      </c>
      <c r="CA269" s="138">
        <f>SUM(CA238:CA267)</f>
        <v>880750</v>
      </c>
      <c r="CC269" s="138">
        <f>SUM(CC238:CC267)</f>
        <v>0</v>
      </c>
      <c r="CD269" s="138">
        <f>SUM(CD238:CD267)</f>
        <v>880750</v>
      </c>
      <c r="CF269" s="138">
        <f>SUM(CF238:CF267)</f>
        <v>20000</v>
      </c>
      <c r="CG269" s="138">
        <f>SUM(CG238:CG267)</f>
        <v>900750</v>
      </c>
      <c r="CI269" s="138">
        <f>SUM(CI238:CI267)</f>
        <v>30000</v>
      </c>
      <c r="CJ269" s="138">
        <f>SUM(CJ238:CJ267)</f>
        <v>930750</v>
      </c>
      <c r="CL269" s="391">
        <f>SUM(CL238:CL267)</f>
        <v>-51000</v>
      </c>
      <c r="CM269" s="138">
        <f>SUM(CM238:CM267)</f>
        <v>879750</v>
      </c>
      <c r="CO269" s="138">
        <f>SUM(CO238:CO267)</f>
        <v>53200</v>
      </c>
      <c r="CP269" s="138">
        <f>SUM(CP238:CP267)</f>
        <v>932950</v>
      </c>
      <c r="CR269" s="138">
        <f>SUM(CR238:CR267)</f>
        <v>0</v>
      </c>
      <c r="CS269" s="138">
        <f>SUM(CS238:CS267)</f>
        <v>932950</v>
      </c>
      <c r="CU269" s="138">
        <f>SUM(CU238:CU267)</f>
        <v>16800</v>
      </c>
      <c r="CV269" s="138">
        <f>SUM(CV238:CV267)</f>
        <v>949750</v>
      </c>
      <c r="CX269" s="138">
        <f>SUM(CX238:CX267)</f>
        <v>0</v>
      </c>
      <c r="CY269" s="138">
        <f>SUM(CY238:CY267)</f>
        <v>949750</v>
      </c>
      <c r="DA269" s="138">
        <f>SUM(DA238:DA267)</f>
        <v>934191.45000000007</v>
      </c>
      <c r="DC269" s="138">
        <f>SUM(DC238:DC267)</f>
        <v>1121200</v>
      </c>
    </row>
    <row r="270" spans="1:109" ht="16.5" thickTop="1" thickBot="1">
      <c r="A270" s="80" t="s">
        <v>78</v>
      </c>
      <c r="B270" s="81" t="s">
        <v>362</v>
      </c>
      <c r="C270" s="339" t="s">
        <v>356</v>
      </c>
      <c r="D270" s="82">
        <f>D258</f>
        <v>180000</v>
      </c>
      <c r="E270" s="83"/>
      <c r="F270" s="82">
        <f>F258</f>
        <v>180000</v>
      </c>
      <c r="G270" s="83"/>
      <c r="H270" s="82"/>
      <c r="I270" s="82">
        <f>I258</f>
        <v>199</v>
      </c>
      <c r="J270" s="84"/>
      <c r="K270" s="85"/>
      <c r="L270" s="139">
        <f>L258</f>
        <v>10000</v>
      </c>
      <c r="M270" s="86">
        <f>L270/F270-1</f>
        <v>-0.94444444444444442</v>
      </c>
      <c r="N270" s="86">
        <f>L270/I270-1</f>
        <v>49.251256281407038</v>
      </c>
      <c r="Q270" s="139">
        <f>Q258</f>
        <v>24600</v>
      </c>
      <c r="R270" s="139">
        <f>R258</f>
        <v>21766</v>
      </c>
      <c r="S270" s="139">
        <f>S258</f>
        <v>50000</v>
      </c>
      <c r="T270" s="139">
        <f>T258</f>
        <v>25400</v>
      </c>
      <c r="U270" s="175">
        <f>S270/Q270-1</f>
        <v>1.0325203252032522</v>
      </c>
      <c r="Y270" s="139">
        <f>Y258</f>
        <v>50000</v>
      </c>
      <c r="AA270" s="139">
        <f>AA258</f>
        <v>60000</v>
      </c>
      <c r="AB270" s="139">
        <f>AB258</f>
        <v>10000</v>
      </c>
      <c r="AE270" s="139">
        <f>AE258</f>
        <v>60000</v>
      </c>
      <c r="AF270" s="213"/>
      <c r="AH270" s="139">
        <f>AH258</f>
        <v>55195.06</v>
      </c>
      <c r="AI270" s="20">
        <f t="shared" si="576"/>
        <v>0.91991766666666663</v>
      </c>
      <c r="AK270" s="139">
        <f>AK258</f>
        <v>60500</v>
      </c>
      <c r="AL270" s="229">
        <f t="shared" si="577"/>
        <v>6.05</v>
      </c>
      <c r="AM270" s="20">
        <f t="shared" si="578"/>
        <v>1.0083333333333333</v>
      </c>
      <c r="AN270" s="20">
        <f t="shared" si="579"/>
        <v>1.0961125868873047</v>
      </c>
      <c r="AS270" s="139">
        <f>AS258</f>
        <v>60500</v>
      </c>
      <c r="AU270" s="139">
        <f>AU258</f>
        <v>0</v>
      </c>
      <c r="AV270" s="139">
        <f>AV258</f>
        <v>60500</v>
      </c>
      <c r="AX270" s="139">
        <f>AX258</f>
        <v>0</v>
      </c>
      <c r="AY270" s="139">
        <f>AY258</f>
        <v>60500</v>
      </c>
      <c r="BA270" s="139">
        <f>BA258</f>
        <v>0</v>
      </c>
      <c r="BB270" s="139">
        <f>BB258</f>
        <v>60500</v>
      </c>
      <c r="BD270" s="139">
        <f>BD258</f>
        <v>-15000</v>
      </c>
      <c r="BE270" s="139">
        <f>BE258</f>
        <v>45500</v>
      </c>
      <c r="BG270" s="139">
        <f>BG258</f>
        <v>0</v>
      </c>
      <c r="BH270" s="139">
        <f>BH258</f>
        <v>45500</v>
      </c>
      <c r="BJ270" s="139">
        <f>BJ258</f>
        <v>45051.06</v>
      </c>
      <c r="BK270" s="280">
        <f t="shared" ref="BK270:BK271" si="583">BJ270/BH270</f>
        <v>0.99013318681318674</v>
      </c>
      <c r="BM270" s="139">
        <f>BM258</f>
        <v>40000</v>
      </c>
      <c r="BN270" s="280">
        <f t="shared" si="581"/>
        <v>0.88788143941563202</v>
      </c>
      <c r="BO270" s="280">
        <f t="shared" si="582"/>
        <v>0.87912087912087911</v>
      </c>
      <c r="BQ270" s="139">
        <f>BQ258</f>
        <v>0</v>
      </c>
      <c r="BR270" s="139">
        <f>BR258</f>
        <v>40000</v>
      </c>
      <c r="BT270" s="139">
        <f>BT258</f>
        <v>0</v>
      </c>
      <c r="BU270" s="139">
        <f>BU258</f>
        <v>40000</v>
      </c>
      <c r="BW270" s="139">
        <f>BW258</f>
        <v>0</v>
      </c>
      <c r="BX270" s="139">
        <f>BX258</f>
        <v>40000</v>
      </c>
      <c r="BZ270" s="139">
        <f>BZ258</f>
        <v>0</v>
      </c>
      <c r="CA270" s="139">
        <f>CA258</f>
        <v>40000</v>
      </c>
      <c r="CC270" s="139">
        <f>CC258</f>
        <v>0</v>
      </c>
      <c r="CD270" s="139">
        <f>CD258</f>
        <v>40000</v>
      </c>
      <c r="CF270" s="139">
        <f>CF258</f>
        <v>0</v>
      </c>
      <c r="CG270" s="139">
        <f>CG258</f>
        <v>40000</v>
      </c>
      <c r="CI270" s="139">
        <f>CI258</f>
        <v>0</v>
      </c>
      <c r="CJ270" s="139">
        <f>CJ258</f>
        <v>40000</v>
      </c>
      <c r="CL270" s="391">
        <f>CL258</f>
        <v>0</v>
      </c>
      <c r="CM270" s="139">
        <f>CM258</f>
        <v>40000</v>
      </c>
      <c r="CO270" s="139">
        <f>CO258</f>
        <v>0</v>
      </c>
      <c r="CP270" s="139">
        <f>CP258</f>
        <v>40000</v>
      </c>
      <c r="CR270" s="139">
        <f>CR258</f>
        <v>0</v>
      </c>
      <c r="CS270" s="139">
        <f>CS258</f>
        <v>40000</v>
      </c>
      <c r="CU270" s="139">
        <f>CU258</f>
        <v>12000</v>
      </c>
      <c r="CV270" s="139">
        <f>CV258</f>
        <v>52000</v>
      </c>
      <c r="CX270" s="139">
        <f>CX258</f>
        <v>0</v>
      </c>
      <c r="CY270" s="139">
        <f>CY258</f>
        <v>52000</v>
      </c>
      <c r="DA270" s="139">
        <f>DA258</f>
        <v>51777.52</v>
      </c>
      <c r="DC270" s="139">
        <f>DC258</f>
        <v>50000</v>
      </c>
    </row>
    <row r="271" spans="1:109" ht="16.5" thickTop="1" thickBot="1">
      <c r="A271" s="91" t="s">
        <v>78</v>
      </c>
      <c r="B271" s="92" t="s">
        <v>281</v>
      </c>
      <c r="C271" s="340" t="s">
        <v>417</v>
      </c>
      <c r="D271" s="189"/>
      <c r="E271" s="190"/>
      <c r="F271" s="189"/>
      <c r="G271" s="190"/>
      <c r="H271" s="189"/>
      <c r="I271" s="189"/>
      <c r="J271" s="191"/>
      <c r="K271" s="192"/>
      <c r="L271" s="193"/>
      <c r="M271" s="194"/>
      <c r="N271" s="194"/>
      <c r="O271" s="195"/>
      <c r="P271" s="195"/>
      <c r="Q271" s="193"/>
      <c r="R271" s="193"/>
      <c r="S271" s="193"/>
      <c r="T271" s="193"/>
      <c r="U271" s="176"/>
      <c r="V271" s="195"/>
      <c r="W271" s="195"/>
      <c r="X271" s="195"/>
      <c r="Y271" s="140">
        <f>Y268</f>
        <v>8000</v>
      </c>
      <c r="AA271" s="140">
        <f>AA268</f>
        <v>0</v>
      </c>
      <c r="AB271" s="140">
        <f>AB268</f>
        <v>-8000</v>
      </c>
      <c r="AE271" s="140">
        <f>AE268</f>
        <v>0</v>
      </c>
      <c r="AF271" s="213"/>
      <c r="AH271" s="140">
        <f>AH268</f>
        <v>0</v>
      </c>
      <c r="AI271" s="20" t="e">
        <f t="shared" si="576"/>
        <v>#DIV/0!</v>
      </c>
      <c r="AK271" s="140">
        <f>AK268</f>
        <v>0</v>
      </c>
      <c r="AL271" s="229" t="e">
        <f t="shared" si="577"/>
        <v>#DIV/0!</v>
      </c>
      <c r="AM271" s="20" t="e">
        <f t="shared" si="578"/>
        <v>#DIV/0!</v>
      </c>
      <c r="AN271" s="20" t="e">
        <f t="shared" si="579"/>
        <v>#DIV/0!</v>
      </c>
      <c r="AS271" s="140">
        <f>AS268</f>
        <v>0</v>
      </c>
      <c r="AU271" s="140">
        <f>AU268</f>
        <v>0</v>
      </c>
      <c r="AV271" s="140">
        <f>AV268</f>
        <v>0</v>
      </c>
      <c r="AX271" s="140">
        <f>AX268</f>
        <v>0</v>
      </c>
      <c r="AY271" s="140">
        <f>AY268</f>
        <v>0</v>
      </c>
      <c r="BA271" s="140">
        <f>BA268</f>
        <v>0</v>
      </c>
      <c r="BB271" s="140">
        <f>BB268</f>
        <v>0</v>
      </c>
      <c r="BD271" s="140">
        <f>BD268</f>
        <v>0</v>
      </c>
      <c r="BE271" s="140">
        <f>BE268</f>
        <v>0</v>
      </c>
      <c r="BG271" s="140">
        <f>BG268</f>
        <v>0</v>
      </c>
      <c r="BH271" s="140">
        <f>BH268</f>
        <v>0</v>
      </c>
      <c r="BJ271" s="140">
        <f>BJ268</f>
        <v>0</v>
      </c>
      <c r="BK271" s="281" t="e">
        <f t="shared" si="583"/>
        <v>#DIV/0!</v>
      </c>
      <c r="BM271" s="140">
        <f>BM268</f>
        <v>0</v>
      </c>
      <c r="BN271" s="281" t="e">
        <f t="shared" si="581"/>
        <v>#DIV/0!</v>
      </c>
      <c r="BO271" s="281" t="e">
        <f t="shared" si="582"/>
        <v>#DIV/0!</v>
      </c>
      <c r="BQ271" s="140">
        <f>BQ268</f>
        <v>0</v>
      </c>
      <c r="BR271" s="140">
        <f>BR268</f>
        <v>0</v>
      </c>
      <c r="BT271" s="140">
        <f>BT268</f>
        <v>0</v>
      </c>
      <c r="BU271" s="140">
        <f>BU268</f>
        <v>0</v>
      </c>
      <c r="BW271" s="140">
        <f>BW268</f>
        <v>0</v>
      </c>
      <c r="BX271" s="140">
        <f>BX268</f>
        <v>0</v>
      </c>
      <c r="BZ271" s="140">
        <f>BZ268</f>
        <v>0</v>
      </c>
      <c r="CA271" s="140">
        <f>CA268</f>
        <v>0</v>
      </c>
      <c r="CC271" s="140">
        <f>CC268</f>
        <v>0</v>
      </c>
      <c r="CD271" s="140">
        <f>CD268</f>
        <v>0</v>
      </c>
      <c r="CF271" s="140">
        <f>CF268</f>
        <v>0</v>
      </c>
      <c r="CG271" s="140">
        <f>CG268</f>
        <v>0</v>
      </c>
      <c r="CI271" s="140">
        <f>CI268</f>
        <v>0</v>
      </c>
      <c r="CJ271" s="140">
        <f>CJ268</f>
        <v>0</v>
      </c>
      <c r="CL271" s="391">
        <f>CL268</f>
        <v>0</v>
      </c>
      <c r="CM271" s="140">
        <f>CM268</f>
        <v>0</v>
      </c>
      <c r="CO271" s="140">
        <f>CO268</f>
        <v>0</v>
      </c>
      <c r="CP271" s="140">
        <f>CP268</f>
        <v>0</v>
      </c>
      <c r="CR271" s="140">
        <f>CR268</f>
        <v>0</v>
      </c>
      <c r="CS271" s="140">
        <f>CS268</f>
        <v>0</v>
      </c>
      <c r="CU271" s="140">
        <f>CU268</f>
        <v>0</v>
      </c>
      <c r="CV271" s="140">
        <f>CV268</f>
        <v>0</v>
      </c>
      <c r="CX271" s="140">
        <f>CX268</f>
        <v>0</v>
      </c>
      <c r="CY271" s="140">
        <f>CY268</f>
        <v>0</v>
      </c>
      <c r="DA271" s="140">
        <f>DA268</f>
        <v>0</v>
      </c>
      <c r="DC271" s="140">
        <f>DC268</f>
        <v>0</v>
      </c>
    </row>
    <row r="272" spans="1:109" ht="15.75" outlineLevel="1" thickTop="1">
      <c r="A272" s="14" t="s">
        <v>88</v>
      </c>
      <c r="B272" s="14" t="s">
        <v>233</v>
      </c>
      <c r="C272" s="4" t="s">
        <v>234</v>
      </c>
      <c r="D272" s="52">
        <v>200</v>
      </c>
      <c r="E272" s="37">
        <v>57.7</v>
      </c>
      <c r="F272" s="52">
        <v>200</v>
      </c>
      <c r="G272" s="37">
        <v>57.7</v>
      </c>
      <c r="H272" s="56">
        <v>115.4</v>
      </c>
      <c r="I272" s="40">
        <f>H272*I2</f>
        <v>138.47999999999999</v>
      </c>
      <c r="J272" s="17"/>
      <c r="K272" t="s">
        <v>336</v>
      </c>
      <c r="L272" s="134">
        <v>200</v>
      </c>
      <c r="M272" s="20">
        <f>L272/F272-1</f>
        <v>0</v>
      </c>
      <c r="N272" s="20">
        <f>L272/I272-1</f>
        <v>0.44425187752744089</v>
      </c>
      <c r="Q272" s="134">
        <v>200</v>
      </c>
      <c r="R272" s="18">
        <v>67</v>
      </c>
      <c r="S272" s="134">
        <v>200</v>
      </c>
      <c r="T272" s="18">
        <f>S272-Q272</f>
        <v>0</v>
      </c>
      <c r="U272" s="19">
        <f>S272/Q272-1</f>
        <v>0</v>
      </c>
      <c r="Y272" s="134">
        <v>200</v>
      </c>
      <c r="AA272" s="134">
        <v>150</v>
      </c>
      <c r="AB272" s="216">
        <f t="shared" ref="AB272" si="584">AA272-Y272</f>
        <v>-50</v>
      </c>
      <c r="AC272" s="219">
        <f t="shared" ref="AC272" si="585">AA272-Y272</f>
        <v>-50</v>
      </c>
      <c r="AD272" s="219"/>
      <c r="AE272" s="134">
        <v>4000</v>
      </c>
      <c r="AF272" s="213">
        <f>AE272-AA272</f>
        <v>3850</v>
      </c>
      <c r="AH272" s="18">
        <v>3946.4</v>
      </c>
      <c r="AI272" s="20">
        <f t="shared" si="576"/>
        <v>0.98660000000000003</v>
      </c>
      <c r="AK272" s="134">
        <v>4200</v>
      </c>
      <c r="AS272" s="18">
        <f t="shared" ref="AS272" si="586">AR272+AK272</f>
        <v>4200</v>
      </c>
      <c r="AV272" s="18">
        <f t="shared" ref="AV272" si="587">AS272+AU272</f>
        <v>4200</v>
      </c>
      <c r="AX272" s="18"/>
      <c r="AY272" s="18">
        <f t="shared" ref="AY272" si="588">AV272+AX272</f>
        <v>4200</v>
      </c>
      <c r="BB272" s="18">
        <f t="shared" ref="BB272" si="589">AY272+BA272</f>
        <v>4200</v>
      </c>
      <c r="BD272" s="18">
        <v>-800</v>
      </c>
      <c r="BE272" s="18">
        <f t="shared" ref="BE272" si="590">BB272+BD272</f>
        <v>3400</v>
      </c>
      <c r="BG272" s="18"/>
      <c r="BH272" s="18">
        <f t="shared" ref="BH272" si="591">BE272+BG272</f>
        <v>3400</v>
      </c>
      <c r="BJ272" s="18">
        <v>3287.6</v>
      </c>
      <c r="BK272" s="279">
        <f t="shared" ref="BK272" si="592">BJ272/BH272</f>
        <v>0.96694117647058819</v>
      </c>
      <c r="BM272" s="289">
        <v>3500</v>
      </c>
      <c r="BN272" s="279">
        <f t="shared" ref="BN272" si="593">BM272/BJ272</f>
        <v>1.0646063998053292</v>
      </c>
      <c r="BO272" s="279">
        <f t="shared" ref="BO272" si="594">BM272/BH272</f>
        <v>1.0294117647058822</v>
      </c>
      <c r="BQ272" s="289"/>
      <c r="BR272" s="18">
        <f t="shared" ref="BR272" si="595">BM272+BQ272</f>
        <v>3500</v>
      </c>
      <c r="BT272" s="289"/>
      <c r="BU272" s="18">
        <f>BR272+BT272</f>
        <v>3500</v>
      </c>
      <c r="BW272" s="289"/>
      <c r="BX272" s="18">
        <f>BU272+BW272</f>
        <v>3500</v>
      </c>
      <c r="BZ272" s="289"/>
      <c r="CA272" s="18">
        <f>BX272+BZ272</f>
        <v>3500</v>
      </c>
      <c r="CC272" s="289"/>
      <c r="CD272" s="18">
        <f>CA272+CC272</f>
        <v>3500</v>
      </c>
      <c r="CF272" s="289"/>
      <c r="CG272" s="18">
        <f>CD272+CF272</f>
        <v>3500</v>
      </c>
      <c r="CI272" s="349">
        <v>1200</v>
      </c>
      <c r="CJ272" s="18">
        <f>CG272+CI272</f>
        <v>4700</v>
      </c>
      <c r="CM272" s="18">
        <f>CJ272+CL272</f>
        <v>4700</v>
      </c>
      <c r="CO272" s="327"/>
      <c r="CP272" s="18">
        <f>CM272+CO272</f>
        <v>4700</v>
      </c>
      <c r="CR272" s="327"/>
      <c r="CS272" s="18">
        <f>CP272+CR272</f>
        <v>4700</v>
      </c>
      <c r="CU272" s="327"/>
      <c r="CV272" s="18">
        <f>CS272+CU272</f>
        <v>4700</v>
      </c>
      <c r="CX272" s="327"/>
      <c r="CY272" s="18">
        <f>CV272+CX272</f>
        <v>4700</v>
      </c>
      <c r="DA272" s="327">
        <v>4552.83</v>
      </c>
      <c r="DC272" s="327">
        <v>5000</v>
      </c>
    </row>
    <row r="273" spans="1:107" outlineLevel="1">
      <c r="A273" s="14" t="s">
        <v>88</v>
      </c>
      <c r="B273" s="4" t="s">
        <v>46</v>
      </c>
      <c r="C273" s="4" t="s">
        <v>91</v>
      </c>
      <c r="D273" s="52">
        <v>200</v>
      </c>
      <c r="E273" s="37">
        <v>57.7</v>
      </c>
      <c r="F273" s="52">
        <v>200</v>
      </c>
      <c r="G273" s="37">
        <v>57.7</v>
      </c>
      <c r="H273" s="56">
        <v>115.4</v>
      </c>
      <c r="Y273" s="134"/>
      <c r="AF273" s="213"/>
      <c r="AH273" s="18"/>
      <c r="AX273" s="18"/>
      <c r="BD273" s="18"/>
      <c r="BG273" s="18"/>
    </row>
    <row r="274" spans="1:107" outlineLevel="1">
      <c r="A274" s="14" t="s">
        <v>92</v>
      </c>
      <c r="B274" s="4" t="s">
        <v>48</v>
      </c>
      <c r="C274" s="4" t="s">
        <v>91</v>
      </c>
      <c r="D274" s="52">
        <v>200</v>
      </c>
      <c r="E274" s="37">
        <v>57.7</v>
      </c>
      <c r="F274" s="52">
        <v>200</v>
      </c>
      <c r="G274" s="37">
        <v>57.7</v>
      </c>
      <c r="H274" s="56">
        <v>115.4</v>
      </c>
      <c r="I274" s="40"/>
      <c r="J274" s="17"/>
      <c r="Y274" s="134"/>
      <c r="AF274" s="213"/>
      <c r="AH274" s="18"/>
      <c r="AX274" s="18"/>
      <c r="BD274" s="18"/>
      <c r="BG274" s="18"/>
    </row>
    <row r="275" spans="1:107" ht="15.75" thickBot="1">
      <c r="A275" s="70" t="s">
        <v>88</v>
      </c>
      <c r="B275" s="71" t="s">
        <v>320</v>
      </c>
      <c r="C275" s="72" t="s">
        <v>357</v>
      </c>
      <c r="D275" s="73">
        <f>D272</f>
        <v>200</v>
      </c>
      <c r="E275" s="74"/>
      <c r="F275" s="73">
        <f>F272</f>
        <v>200</v>
      </c>
      <c r="G275" s="74"/>
      <c r="H275" s="73"/>
      <c r="I275" s="73">
        <f>I272</f>
        <v>138.47999999999999</v>
      </c>
      <c r="J275" s="75"/>
      <c r="K275" s="76"/>
      <c r="L275" s="138">
        <f>L272</f>
        <v>200</v>
      </c>
      <c r="M275" s="77">
        <f>L275/F275-1</f>
        <v>0</v>
      </c>
      <c r="N275" s="77">
        <f>L275/I275-1</f>
        <v>0.44425187752744089</v>
      </c>
      <c r="Q275" s="138">
        <f>Q272</f>
        <v>200</v>
      </c>
      <c r="R275" s="138">
        <f>R272</f>
        <v>67</v>
      </c>
      <c r="S275" s="138">
        <f>S272</f>
        <v>200</v>
      </c>
      <c r="T275" s="138">
        <f>T272</f>
        <v>0</v>
      </c>
      <c r="U275" s="175">
        <f>S275/Q275-1</f>
        <v>0</v>
      </c>
      <c r="Y275" s="138">
        <f>Y272</f>
        <v>200</v>
      </c>
      <c r="AA275" s="138">
        <f>AA272</f>
        <v>150</v>
      </c>
      <c r="AB275" s="138">
        <f>AB272</f>
        <v>-50</v>
      </c>
      <c r="AE275" s="138">
        <f>AE272</f>
        <v>4000</v>
      </c>
      <c r="AF275" s="213"/>
      <c r="AH275" s="138">
        <f>AH272</f>
        <v>3946.4</v>
      </c>
      <c r="AI275" s="20">
        <f t="shared" ref="AI275:AI276" si="596">AH275/AE275</f>
        <v>0.98660000000000003</v>
      </c>
      <c r="AK275" s="138">
        <f>AK272</f>
        <v>4200</v>
      </c>
      <c r="AL275" s="229">
        <f>AK275/L275</f>
        <v>21</v>
      </c>
      <c r="AM275" s="20">
        <f>AK275/AE275</f>
        <v>1.05</v>
      </c>
      <c r="AN275" s="20">
        <f>AK275/AH275</f>
        <v>1.0642610987228867</v>
      </c>
      <c r="AS275" s="138">
        <f>AS272</f>
        <v>4200</v>
      </c>
      <c r="AU275" s="138">
        <f>AU272</f>
        <v>0</v>
      </c>
      <c r="AV275" s="138">
        <f>AV272</f>
        <v>4200</v>
      </c>
      <c r="AX275" s="138">
        <f>AX272</f>
        <v>0</v>
      </c>
      <c r="AY275" s="138">
        <f>AY272</f>
        <v>4200</v>
      </c>
      <c r="BA275" s="138">
        <f>BA272</f>
        <v>0</v>
      </c>
      <c r="BB275" s="138">
        <f>BB272</f>
        <v>4200</v>
      </c>
      <c r="BD275" s="138">
        <f>BD272</f>
        <v>-800</v>
      </c>
      <c r="BE275" s="138">
        <f>BE272</f>
        <v>3400</v>
      </c>
      <c r="BG275" s="138">
        <f>BG272</f>
        <v>0</v>
      </c>
      <c r="BH275" s="138">
        <f>BH272</f>
        <v>3400</v>
      </c>
      <c r="BJ275" s="138">
        <f>BJ272</f>
        <v>3287.6</v>
      </c>
      <c r="BK275" s="280">
        <f t="shared" ref="BK275" si="597">BJ275/BH275</f>
        <v>0.96694117647058819</v>
      </c>
      <c r="BM275" s="138">
        <f>BM272</f>
        <v>3500</v>
      </c>
      <c r="BN275" s="280">
        <f t="shared" ref="BN275" si="598">BM275/BJ275</f>
        <v>1.0646063998053292</v>
      </c>
      <c r="BO275" s="280">
        <f t="shared" ref="BO275" si="599">BM275/BH275</f>
        <v>1.0294117647058822</v>
      </c>
      <c r="BQ275" s="138">
        <f>BQ272</f>
        <v>0</v>
      </c>
      <c r="BR275" s="138">
        <f>BR272</f>
        <v>3500</v>
      </c>
      <c r="BT275" s="138">
        <f>BT272</f>
        <v>0</v>
      </c>
      <c r="BU275" s="138">
        <f>BU272</f>
        <v>3500</v>
      </c>
      <c r="BW275" s="138">
        <f>BW272</f>
        <v>0</v>
      </c>
      <c r="BX275" s="138">
        <f>BX272</f>
        <v>3500</v>
      </c>
      <c r="BZ275" s="138">
        <f>BZ272</f>
        <v>0</v>
      </c>
      <c r="CA275" s="138">
        <f>CA272</f>
        <v>3500</v>
      </c>
      <c r="CC275" s="138">
        <f>CC272</f>
        <v>0</v>
      </c>
      <c r="CD275" s="138">
        <f>CD272</f>
        <v>3500</v>
      </c>
      <c r="CF275" s="138">
        <f>CF272</f>
        <v>0</v>
      </c>
      <c r="CG275" s="138">
        <f>CG272</f>
        <v>3500</v>
      </c>
      <c r="CI275" s="138">
        <f>CI272</f>
        <v>1200</v>
      </c>
      <c r="CJ275" s="138">
        <f>CJ272</f>
        <v>4700</v>
      </c>
      <c r="CL275" s="391">
        <f>CL272</f>
        <v>0</v>
      </c>
      <c r="CM275" s="138">
        <f>CM272</f>
        <v>4700</v>
      </c>
      <c r="CO275" s="138">
        <f>CO272</f>
        <v>0</v>
      </c>
      <c r="CP275" s="138">
        <f>CP272</f>
        <v>4700</v>
      </c>
      <c r="CR275" s="138">
        <f>CR272</f>
        <v>0</v>
      </c>
      <c r="CS275" s="138">
        <f>CS272</f>
        <v>4700</v>
      </c>
      <c r="CU275" s="138">
        <f>CU272</f>
        <v>0</v>
      </c>
      <c r="CV275" s="138">
        <f>CV272</f>
        <v>4700</v>
      </c>
      <c r="CX275" s="138">
        <f>CX272</f>
        <v>0</v>
      </c>
      <c r="CY275" s="138">
        <f>CY272</f>
        <v>4700</v>
      </c>
      <c r="DA275" s="138">
        <f>DA272</f>
        <v>4552.83</v>
      </c>
      <c r="DC275" s="138">
        <f>DC272</f>
        <v>5000</v>
      </c>
    </row>
    <row r="276" spans="1:107" ht="15.75" outlineLevel="1" thickTop="1">
      <c r="A276" s="14" t="s">
        <v>239</v>
      </c>
      <c r="B276" s="14" t="s">
        <v>233</v>
      </c>
      <c r="C276" s="4" t="s">
        <v>234</v>
      </c>
      <c r="D276" s="52">
        <v>27000</v>
      </c>
      <c r="E276" s="37">
        <v>69.209999999999994</v>
      </c>
      <c r="F276" s="52">
        <v>27000</v>
      </c>
      <c r="G276" s="37">
        <v>69.209999999999994</v>
      </c>
      <c r="H276" s="56">
        <v>18686.98</v>
      </c>
      <c r="I276" s="40">
        <v>18687</v>
      </c>
      <c r="J276" s="17"/>
      <c r="K276" t="s">
        <v>336</v>
      </c>
      <c r="L276" s="134">
        <v>16000</v>
      </c>
      <c r="M276" s="20">
        <f>L276/F276-1</f>
        <v>-0.40740740740740744</v>
      </c>
      <c r="N276" s="20">
        <f>L276/I276-1</f>
        <v>-0.1437898003959972</v>
      </c>
      <c r="Q276" s="134">
        <v>16000</v>
      </c>
      <c r="R276" s="18">
        <v>13284</v>
      </c>
      <c r="S276" s="134">
        <v>14000</v>
      </c>
      <c r="T276" s="18">
        <f>S276-Q276</f>
        <v>-2000</v>
      </c>
      <c r="U276" s="19">
        <f>S276/Q276-1</f>
        <v>-0.125</v>
      </c>
      <c r="Y276" s="134">
        <v>15700</v>
      </c>
      <c r="AA276" s="134">
        <v>19000</v>
      </c>
      <c r="AB276" s="216">
        <f t="shared" ref="AB276" si="600">AA276-Y276</f>
        <v>3300</v>
      </c>
      <c r="AC276" s="219">
        <f t="shared" ref="AC276" si="601">AA276-Y276</f>
        <v>3300</v>
      </c>
      <c r="AD276" s="219"/>
      <c r="AE276" s="134">
        <v>19000</v>
      </c>
      <c r="AF276" s="213"/>
      <c r="AH276" s="18">
        <v>15612</v>
      </c>
      <c r="AI276" s="20">
        <f t="shared" si="596"/>
        <v>0.82168421052631579</v>
      </c>
      <c r="AK276" s="134">
        <v>16000</v>
      </c>
      <c r="AS276" s="18">
        <f t="shared" ref="AS276" si="602">AR276+AK276</f>
        <v>16000</v>
      </c>
      <c r="AV276" s="18">
        <f t="shared" ref="AV276" si="603">AS276+AU276</f>
        <v>16000</v>
      </c>
      <c r="AX276" s="18"/>
      <c r="AY276" s="18">
        <f t="shared" ref="AY276" si="604">AV276+AX276</f>
        <v>16000</v>
      </c>
      <c r="BB276" s="18">
        <f t="shared" ref="BB276" si="605">AY276+BA276</f>
        <v>16000</v>
      </c>
      <c r="BD276" s="18"/>
      <c r="BE276" s="18">
        <f t="shared" ref="BE276" si="606">BB276+BD276</f>
        <v>16000</v>
      </c>
      <c r="BG276" s="18">
        <v>-200</v>
      </c>
      <c r="BH276" s="18">
        <f t="shared" ref="BH276" si="607">BE276+BG276</f>
        <v>15800</v>
      </c>
      <c r="BJ276" s="18">
        <v>15144</v>
      </c>
      <c r="BK276" s="279">
        <f t="shared" ref="BK276" si="608">BJ276/BH276</f>
        <v>0.95848101265822783</v>
      </c>
      <c r="BM276" s="289">
        <v>16000</v>
      </c>
      <c r="BN276" s="279">
        <f t="shared" ref="BN276" si="609">BM276/BJ276</f>
        <v>1.0565240359218173</v>
      </c>
      <c r="BO276" s="279">
        <f t="shared" ref="BO276" si="610">BM276/BH276</f>
        <v>1.0126582278481013</v>
      </c>
      <c r="BQ276" s="289"/>
      <c r="BR276" s="18">
        <f t="shared" ref="BR276" si="611">BM276+BQ276</f>
        <v>16000</v>
      </c>
      <c r="BT276" s="289"/>
      <c r="BU276" s="18">
        <f>BR276+BT276</f>
        <v>16000</v>
      </c>
      <c r="BW276" s="289"/>
      <c r="BX276" s="18">
        <f>BU276+BW276</f>
        <v>16000</v>
      </c>
      <c r="BZ276" s="289"/>
      <c r="CA276" s="18">
        <f>BX276+BZ276</f>
        <v>16000</v>
      </c>
      <c r="CC276" s="289"/>
      <c r="CD276" s="18">
        <f>CA276+CC276</f>
        <v>16000</v>
      </c>
      <c r="CF276" s="289"/>
      <c r="CG276" s="18">
        <f>CD276+CF276</f>
        <v>16000</v>
      </c>
      <c r="CI276" s="289"/>
      <c r="CJ276" s="18">
        <f>CG276+CI276</f>
        <v>16000</v>
      </c>
      <c r="CM276" s="18">
        <f>CJ276+CL276</f>
        <v>16000</v>
      </c>
      <c r="CP276" s="18">
        <f>CM276+CO276</f>
        <v>16000</v>
      </c>
      <c r="CS276" s="18">
        <f>CP276+CR276</f>
        <v>16000</v>
      </c>
      <c r="CU276" s="349">
        <v>-3000</v>
      </c>
      <c r="CV276" s="18">
        <f>CS276+CU276</f>
        <v>13000</v>
      </c>
      <c r="CX276" s="349"/>
      <c r="CY276" s="18">
        <f>CV276+CX276</f>
        <v>13000</v>
      </c>
      <c r="DA276" s="289">
        <v>12746</v>
      </c>
      <c r="DC276" s="289">
        <v>13000</v>
      </c>
    </row>
    <row r="277" spans="1:107" outlineLevel="1">
      <c r="A277" s="14" t="s">
        <v>239</v>
      </c>
      <c r="B277" s="4" t="s">
        <v>46</v>
      </c>
      <c r="C277" s="4" t="s">
        <v>240</v>
      </c>
      <c r="D277" s="52">
        <v>27000</v>
      </c>
      <c r="E277" s="37">
        <v>69.209999999999994</v>
      </c>
      <c r="F277" s="52">
        <v>27000</v>
      </c>
      <c r="G277" s="37">
        <v>69.209999999999994</v>
      </c>
      <c r="H277" s="56">
        <v>18686.98</v>
      </c>
      <c r="I277" s="40"/>
      <c r="J277" s="17"/>
      <c r="Y277" s="134"/>
      <c r="AF277" s="213"/>
      <c r="AH277" s="18"/>
      <c r="AX277" s="18"/>
      <c r="BD277" s="18"/>
      <c r="BG277" s="18"/>
    </row>
    <row r="278" spans="1:107" outlineLevel="1">
      <c r="A278" s="14" t="s">
        <v>241</v>
      </c>
      <c r="B278" s="4" t="s">
        <v>48</v>
      </c>
      <c r="C278" s="4" t="s">
        <v>240</v>
      </c>
      <c r="D278" s="52">
        <v>27000</v>
      </c>
      <c r="E278" s="37">
        <v>69.209999999999994</v>
      </c>
      <c r="F278" s="52">
        <v>27000</v>
      </c>
      <c r="G278" s="37">
        <v>69.209999999999994</v>
      </c>
      <c r="H278" s="56">
        <v>18686.98</v>
      </c>
      <c r="Y278" s="134"/>
      <c r="AF278" s="213"/>
      <c r="AH278" s="18"/>
      <c r="AX278" s="18"/>
      <c r="BD278" s="18"/>
      <c r="BG278" s="18"/>
    </row>
    <row r="279" spans="1:107" ht="15.75" thickBot="1">
      <c r="A279" s="70" t="s">
        <v>239</v>
      </c>
      <c r="B279" s="71" t="s">
        <v>320</v>
      </c>
      <c r="C279" s="72" t="s">
        <v>358</v>
      </c>
      <c r="D279" s="73">
        <f>D276</f>
        <v>27000</v>
      </c>
      <c r="E279" s="74"/>
      <c r="F279" s="73">
        <f>F276</f>
        <v>27000</v>
      </c>
      <c r="G279" s="74"/>
      <c r="H279" s="73"/>
      <c r="I279" s="73">
        <f>I276</f>
        <v>18687</v>
      </c>
      <c r="J279" s="156" t="e">
        <f>I279/$I$304</f>
        <v>#REF!</v>
      </c>
      <c r="K279" s="76"/>
      <c r="L279" s="138">
        <f>L276</f>
        <v>16000</v>
      </c>
      <c r="M279" s="77">
        <f>L279/F279-1</f>
        <v>-0.40740740740740744</v>
      </c>
      <c r="N279" s="77">
        <f>L279/I279-1</f>
        <v>-0.1437898003959972</v>
      </c>
      <c r="O279" s="20">
        <f>L279/$L$304</f>
        <v>3.7122970526644464E-3</v>
      </c>
      <c r="P279" s="20"/>
      <c r="Q279" s="138">
        <f>Q276</f>
        <v>16000</v>
      </c>
      <c r="R279" s="138">
        <f>R276</f>
        <v>13284</v>
      </c>
      <c r="S279" s="138">
        <f>S276</f>
        <v>14000</v>
      </c>
      <c r="T279" s="138">
        <f>T276</f>
        <v>-2000</v>
      </c>
      <c r="U279" s="175">
        <f>S279/Q279-1</f>
        <v>-0.125</v>
      </c>
      <c r="Y279" s="138">
        <f>Y276</f>
        <v>15700</v>
      </c>
      <c r="AA279" s="138">
        <f>AA276</f>
        <v>19000</v>
      </c>
      <c r="AB279" s="138">
        <f>AB276</f>
        <v>3300</v>
      </c>
      <c r="AE279" s="138">
        <f>AE276</f>
        <v>19000</v>
      </c>
      <c r="AF279" s="213"/>
      <c r="AH279" s="138">
        <f>AH276</f>
        <v>15612</v>
      </c>
      <c r="AI279" s="20">
        <f t="shared" ref="AI279:AI280" si="612">AH279/AE279</f>
        <v>0.82168421052631579</v>
      </c>
      <c r="AK279" s="138">
        <f>AK276</f>
        <v>16000</v>
      </c>
      <c r="AL279" s="229">
        <f>AK279/L279</f>
        <v>1</v>
      </c>
      <c r="AM279" s="20">
        <f>AK279/AE279</f>
        <v>0.84210526315789469</v>
      </c>
      <c r="AN279" s="20">
        <f>AK279/AH279</f>
        <v>1.0248526774276199</v>
      </c>
      <c r="AS279" s="138">
        <f>AS276</f>
        <v>16000</v>
      </c>
      <c r="AU279" s="138">
        <f>AU276</f>
        <v>0</v>
      </c>
      <c r="AV279" s="138">
        <f>AV276</f>
        <v>16000</v>
      </c>
      <c r="AX279" s="138">
        <f>AX276</f>
        <v>0</v>
      </c>
      <c r="AY279" s="138">
        <f>AY276</f>
        <v>16000</v>
      </c>
      <c r="BA279" s="138">
        <f>BA276</f>
        <v>0</v>
      </c>
      <c r="BB279" s="138">
        <f>BB276</f>
        <v>16000</v>
      </c>
      <c r="BD279" s="138">
        <f>BD276</f>
        <v>0</v>
      </c>
      <c r="BE279" s="138">
        <f>BE276</f>
        <v>16000</v>
      </c>
      <c r="BG279" s="138">
        <f>BG276</f>
        <v>-200</v>
      </c>
      <c r="BH279" s="138">
        <f>BH276</f>
        <v>15800</v>
      </c>
      <c r="BJ279" s="138">
        <f>BJ276</f>
        <v>15144</v>
      </c>
      <c r="BK279" s="280">
        <f t="shared" ref="BK279" si="613">BJ279/BH279</f>
        <v>0.95848101265822783</v>
      </c>
      <c r="BM279" s="138">
        <f>BM276</f>
        <v>16000</v>
      </c>
      <c r="BN279" s="280">
        <f t="shared" ref="BN279" si="614">BM279/BJ279</f>
        <v>1.0565240359218173</v>
      </c>
      <c r="BO279" s="280">
        <f t="shared" ref="BO279" si="615">BM279/BH279</f>
        <v>1.0126582278481013</v>
      </c>
      <c r="BQ279" s="138">
        <f>BQ276</f>
        <v>0</v>
      </c>
      <c r="BR279" s="138">
        <f>BR276</f>
        <v>16000</v>
      </c>
      <c r="BT279" s="138">
        <f>BT276</f>
        <v>0</v>
      </c>
      <c r="BU279" s="138">
        <f>BU276</f>
        <v>16000</v>
      </c>
      <c r="BW279" s="138">
        <f>BW276</f>
        <v>0</v>
      </c>
      <c r="BX279" s="138">
        <f>BX276</f>
        <v>16000</v>
      </c>
      <c r="BZ279" s="138">
        <f>BZ276</f>
        <v>0</v>
      </c>
      <c r="CA279" s="138">
        <f>CA276</f>
        <v>16000</v>
      </c>
      <c r="CC279" s="138">
        <f>CC276</f>
        <v>0</v>
      </c>
      <c r="CD279" s="138">
        <f>CD276</f>
        <v>16000</v>
      </c>
      <c r="CF279" s="138">
        <f>CF276</f>
        <v>0</v>
      </c>
      <c r="CG279" s="138">
        <f>CG276</f>
        <v>16000</v>
      </c>
      <c r="CI279" s="138">
        <f>CI276</f>
        <v>0</v>
      </c>
      <c r="CJ279" s="138">
        <f>CJ276</f>
        <v>16000</v>
      </c>
      <c r="CL279" s="391">
        <f>CL276</f>
        <v>0</v>
      </c>
      <c r="CM279" s="138">
        <f>CM276</f>
        <v>16000</v>
      </c>
      <c r="CO279" s="138">
        <f>CO276</f>
        <v>0</v>
      </c>
      <c r="CP279" s="138">
        <f>CP276</f>
        <v>16000</v>
      </c>
      <c r="CR279" s="138">
        <f>CR276</f>
        <v>0</v>
      </c>
      <c r="CS279" s="138">
        <f>CS276</f>
        <v>16000</v>
      </c>
      <c r="CU279" s="138">
        <f>CU276</f>
        <v>-3000</v>
      </c>
      <c r="CV279" s="138">
        <f>CV276</f>
        <v>13000</v>
      </c>
      <c r="CX279" s="138">
        <f>CX276</f>
        <v>0</v>
      </c>
      <c r="CY279" s="138">
        <f>CY276</f>
        <v>13000</v>
      </c>
      <c r="DA279" s="138">
        <f>DA276</f>
        <v>12746</v>
      </c>
      <c r="DC279" s="138">
        <f>DC276</f>
        <v>13000</v>
      </c>
    </row>
    <row r="280" spans="1:107" ht="15.75" outlineLevel="1" thickTop="1">
      <c r="A280" s="14" t="s">
        <v>93</v>
      </c>
      <c r="B280" s="14" t="s">
        <v>242</v>
      </c>
      <c r="C280" s="4" t="s">
        <v>243</v>
      </c>
      <c r="D280" s="52">
        <v>292500</v>
      </c>
      <c r="E280" s="37">
        <v>34.19</v>
      </c>
      <c r="F280" s="52">
        <v>172982</v>
      </c>
      <c r="G280" s="37">
        <v>57.81</v>
      </c>
      <c r="H280" s="56">
        <v>100000</v>
      </c>
      <c r="I280" s="40">
        <v>100000</v>
      </c>
      <c r="J280" s="17"/>
      <c r="L280" s="134">
        <v>0</v>
      </c>
      <c r="M280" s="20">
        <f>L280/F280-1</f>
        <v>-1</v>
      </c>
      <c r="N280" s="20">
        <f>L280/I280-1</f>
        <v>-1</v>
      </c>
      <c r="Q280" s="134">
        <v>150000</v>
      </c>
      <c r="R280" s="18">
        <v>100000</v>
      </c>
      <c r="S280" s="134">
        <v>150000</v>
      </c>
      <c r="T280" s="18">
        <f>S280-Q280</f>
        <v>0</v>
      </c>
      <c r="U280" s="19">
        <f>S280/Q280-1</f>
        <v>0</v>
      </c>
      <c r="V280" s="159">
        <v>50000</v>
      </c>
      <c r="W280">
        <v>50000</v>
      </c>
      <c r="Y280" s="134">
        <v>150000</v>
      </c>
      <c r="AA280" s="134">
        <v>270000</v>
      </c>
      <c r="AB280" s="216">
        <f t="shared" ref="AB280" si="616">AA280-Y280</f>
        <v>120000</v>
      </c>
      <c r="AC280" s="219">
        <f t="shared" ref="AC280" si="617">AA280-Y280</f>
        <v>120000</v>
      </c>
      <c r="AD280" s="219"/>
      <c r="AE280" s="134">
        <v>270000</v>
      </c>
      <c r="AF280" s="213"/>
      <c r="AH280" s="18">
        <v>240000</v>
      </c>
      <c r="AI280" s="20">
        <f t="shared" si="612"/>
        <v>0.88888888888888884</v>
      </c>
      <c r="AK280" s="134">
        <v>250000</v>
      </c>
      <c r="AR280">
        <v>100000</v>
      </c>
      <c r="AS280" s="18">
        <f>AR280+AK280</f>
        <v>350000</v>
      </c>
      <c r="AV280" s="18">
        <f t="shared" ref="AV280" si="618">AS280+AU280</f>
        <v>350000</v>
      </c>
      <c r="AX280" s="18"/>
      <c r="AY280" s="18">
        <f t="shared" ref="AY280" si="619">AV280+AX280</f>
        <v>350000</v>
      </c>
      <c r="BB280" s="18">
        <f t="shared" ref="BB280" si="620">AY280+BA280</f>
        <v>350000</v>
      </c>
      <c r="BD280" s="18"/>
      <c r="BE280" s="18">
        <f t="shared" ref="BE280" si="621">BB280+BD280</f>
        <v>350000</v>
      </c>
      <c r="BG280" s="18"/>
      <c r="BH280" s="18">
        <f t="shared" ref="BH280" si="622">BE280+BG280</f>
        <v>350000</v>
      </c>
      <c r="BJ280" s="18">
        <v>300000</v>
      </c>
      <c r="BK280" s="279">
        <f t="shared" ref="BK280" si="623">BJ280/BH280</f>
        <v>0.8571428571428571</v>
      </c>
      <c r="BM280" s="349">
        <v>350000</v>
      </c>
      <c r="BN280" s="279">
        <f t="shared" ref="BN280" si="624">BM280/BJ280</f>
        <v>1.1666666666666667</v>
      </c>
      <c r="BO280" s="279">
        <f t="shared" ref="BO280" si="625">BM280/BH280</f>
        <v>1</v>
      </c>
      <c r="BQ280" s="289"/>
      <c r="BR280" s="18">
        <f t="shared" ref="BR280" si="626">BM280+BQ280</f>
        <v>350000</v>
      </c>
      <c r="BT280" s="289"/>
      <c r="BU280" s="18">
        <f>BR280+BT280</f>
        <v>350000</v>
      </c>
      <c r="BW280" s="289"/>
      <c r="BX280" s="18">
        <f>BU280+BW280</f>
        <v>350000</v>
      </c>
      <c r="BZ280" s="289"/>
      <c r="CA280" s="18">
        <f>BX280+BZ280</f>
        <v>350000</v>
      </c>
      <c r="CC280" s="289"/>
      <c r="CD280" s="18">
        <f>CA280+CC280</f>
        <v>350000</v>
      </c>
      <c r="CF280" s="289"/>
      <c r="CG280" s="18">
        <f>CD280+CF280</f>
        <v>350000</v>
      </c>
      <c r="CI280" s="289"/>
      <c r="CJ280" s="18">
        <f>CG280+CI280</f>
        <v>350000</v>
      </c>
      <c r="CM280" s="18">
        <f>CJ280+CL280</f>
        <v>350000</v>
      </c>
      <c r="CP280" s="18">
        <f>CM280+CO280</f>
        <v>350000</v>
      </c>
      <c r="CS280" s="18">
        <f>CP280+CR280</f>
        <v>350000</v>
      </c>
      <c r="CU280" s="349">
        <v>100000</v>
      </c>
      <c r="CV280" s="18">
        <f>CS280+CU280</f>
        <v>450000</v>
      </c>
      <c r="CX280" s="349"/>
      <c r="CY280" s="18">
        <f>CV280+CX280</f>
        <v>450000</v>
      </c>
      <c r="DA280" s="289">
        <v>450000</v>
      </c>
      <c r="DC280" s="289">
        <v>200000</v>
      </c>
    </row>
    <row r="281" spans="1:107" outlineLevel="1">
      <c r="A281" s="14" t="s">
        <v>93</v>
      </c>
      <c r="B281" s="14" t="s">
        <v>244</v>
      </c>
      <c r="C281" s="4" t="s">
        <v>245</v>
      </c>
      <c r="D281" s="52">
        <v>50000</v>
      </c>
      <c r="E281" s="37">
        <v>0</v>
      </c>
      <c r="F281" s="52">
        <v>50000</v>
      </c>
      <c r="G281" s="37">
        <v>0</v>
      </c>
      <c r="H281" s="56">
        <v>0</v>
      </c>
      <c r="I281" s="40">
        <v>0</v>
      </c>
      <c r="J281" s="17"/>
      <c r="L281" s="134">
        <v>0</v>
      </c>
      <c r="M281" s="20">
        <f>L281/F281-1</f>
        <v>-1</v>
      </c>
      <c r="N281" s="20" t="e">
        <f>L281/I281-1</f>
        <v>#DIV/0!</v>
      </c>
      <c r="Y281" s="134"/>
      <c r="AF281" s="213"/>
      <c r="AH281" s="18"/>
      <c r="AX281" s="18"/>
      <c r="BD281" s="18"/>
      <c r="BG281" s="18"/>
    </row>
    <row r="282" spans="1:107" outlineLevel="1">
      <c r="A282" s="14" t="s">
        <v>93</v>
      </c>
      <c r="B282" s="14" t="s">
        <v>246</v>
      </c>
      <c r="C282" s="4" t="s">
        <v>247</v>
      </c>
      <c r="D282" s="52">
        <v>0</v>
      </c>
      <c r="E282" s="37">
        <v>0</v>
      </c>
      <c r="F282" s="52">
        <v>0</v>
      </c>
      <c r="G282" s="37">
        <v>0</v>
      </c>
      <c r="H282" s="56">
        <v>924000</v>
      </c>
      <c r="I282" s="40">
        <v>924000</v>
      </c>
      <c r="J282" s="17"/>
      <c r="L282" s="134">
        <v>0</v>
      </c>
      <c r="M282" s="20" t="e">
        <f>L282/F282-1</f>
        <v>#DIV/0!</v>
      </c>
      <c r="N282" s="20">
        <f>L282/I282-1</f>
        <v>-1</v>
      </c>
      <c r="Q282" s="134">
        <v>0</v>
      </c>
      <c r="R282" s="18">
        <v>60000</v>
      </c>
      <c r="T282" s="18">
        <f>S282-Q282</f>
        <v>0</v>
      </c>
      <c r="U282" s="19" t="e">
        <f>S282/Q282-1</f>
        <v>#DIV/0!</v>
      </c>
      <c r="Y282" s="134"/>
      <c r="AF282" s="213"/>
      <c r="AH282" s="227">
        <v>1210000</v>
      </c>
      <c r="AX282" s="18"/>
      <c r="BD282" s="18"/>
      <c r="BG282" s="18"/>
      <c r="BJ282" s="18">
        <v>330000</v>
      </c>
      <c r="BM282" s="289"/>
      <c r="BN282" s="279">
        <f t="shared" ref="BN282:BN283" si="627">BM282/BJ282</f>
        <v>0</v>
      </c>
      <c r="BO282" s="279" t="e">
        <f t="shared" ref="BO282:BO283" si="628">BM282/BH282</f>
        <v>#DIV/0!</v>
      </c>
      <c r="BQ282" s="289"/>
      <c r="BR282" s="289"/>
      <c r="BT282" s="289"/>
      <c r="BU282" s="289"/>
      <c r="BW282" s="289"/>
      <c r="BX282" s="289"/>
      <c r="BZ282" s="289"/>
      <c r="CA282" s="289"/>
      <c r="CC282" s="289"/>
      <c r="CD282" s="289"/>
      <c r="CF282" s="289"/>
      <c r="CG282" s="289"/>
      <c r="CI282" s="289"/>
      <c r="CJ282" s="289"/>
      <c r="CM282" s="289"/>
      <c r="CP282" s="289"/>
      <c r="CS282" s="289"/>
      <c r="CV282" s="289"/>
      <c r="CY282" s="289"/>
      <c r="DA282" s="289">
        <v>1686000</v>
      </c>
    </row>
    <row r="283" spans="1:107" outlineLevel="1">
      <c r="A283" s="14" t="s">
        <v>93</v>
      </c>
      <c r="B283" s="14" t="s">
        <v>248</v>
      </c>
      <c r="C283" s="4" t="s">
        <v>249</v>
      </c>
      <c r="D283" s="52">
        <v>0</v>
      </c>
      <c r="E283" s="37">
        <v>0</v>
      </c>
      <c r="F283" s="52">
        <v>0</v>
      </c>
      <c r="G283" s="37">
        <v>0</v>
      </c>
      <c r="H283" s="56">
        <v>152902</v>
      </c>
      <c r="I283" s="40">
        <v>152902</v>
      </c>
      <c r="J283" s="17"/>
      <c r="L283" s="134">
        <v>0</v>
      </c>
      <c r="M283" s="20" t="e">
        <f>L283/F283-1</f>
        <v>#DIV/0!</v>
      </c>
      <c r="N283" s="20">
        <f>L283/I283-1</f>
        <v>-1</v>
      </c>
      <c r="Y283" s="134"/>
      <c r="AF283" s="213"/>
      <c r="AH283" s="227">
        <v>59500</v>
      </c>
      <c r="AX283" s="18"/>
      <c r="BD283" s="18"/>
      <c r="BG283" s="18"/>
      <c r="BJ283" s="18">
        <v>70800</v>
      </c>
      <c r="BM283" s="289"/>
      <c r="BN283" s="279">
        <f t="shared" si="627"/>
        <v>0</v>
      </c>
      <c r="BO283" s="279" t="e">
        <f t="shared" si="628"/>
        <v>#DIV/0!</v>
      </c>
      <c r="BQ283" s="289"/>
      <c r="BR283" s="289"/>
      <c r="BT283" s="289"/>
      <c r="BU283" s="289"/>
      <c r="BW283" s="289"/>
      <c r="BX283" s="289"/>
      <c r="BZ283" s="289"/>
      <c r="CA283" s="289"/>
      <c r="CC283" s="289"/>
      <c r="CD283" s="289"/>
      <c r="CF283" s="289"/>
      <c r="CG283" s="289"/>
      <c r="CI283" s="289"/>
      <c r="CJ283" s="289"/>
      <c r="CM283" s="289"/>
      <c r="CP283" s="289"/>
      <c r="CS283" s="289"/>
      <c r="CV283" s="289"/>
      <c r="CY283" s="289"/>
      <c r="DA283" s="289">
        <v>196500</v>
      </c>
    </row>
    <row r="284" spans="1:107" outlineLevel="1">
      <c r="A284" s="14" t="s">
        <v>93</v>
      </c>
      <c r="B284" s="4" t="s">
        <v>46</v>
      </c>
      <c r="C284" s="4" t="s">
        <v>98</v>
      </c>
      <c r="D284" s="52">
        <v>342500</v>
      </c>
      <c r="E284" s="37">
        <v>343.62</v>
      </c>
      <c r="F284" s="52">
        <v>222982</v>
      </c>
      <c r="G284" s="37">
        <v>527.79999999999995</v>
      </c>
      <c r="H284" s="56">
        <v>1176902</v>
      </c>
      <c r="Y284" s="134"/>
      <c r="AF284" s="213"/>
      <c r="AH284" s="18"/>
      <c r="AX284" s="18"/>
      <c r="BD284" s="18"/>
      <c r="BG284" s="18"/>
      <c r="BM284" s="289"/>
      <c r="BQ284" s="289"/>
      <c r="BR284" s="289"/>
      <c r="BT284" s="289"/>
      <c r="BU284" s="289"/>
      <c r="BW284" s="289"/>
      <c r="BX284" s="289"/>
      <c r="BZ284" s="289"/>
      <c r="CA284" s="289"/>
      <c r="CC284" s="289"/>
      <c r="CD284" s="289"/>
      <c r="CF284" s="289"/>
      <c r="CG284" s="289"/>
      <c r="CI284" s="289"/>
      <c r="CJ284" s="289"/>
      <c r="CM284" s="289"/>
      <c r="CP284" s="289"/>
      <c r="CS284" s="289"/>
      <c r="CV284" s="289"/>
      <c r="CY284" s="289"/>
    </row>
    <row r="285" spans="1:107" outlineLevel="1">
      <c r="A285" s="14" t="s">
        <v>99</v>
      </c>
      <c r="B285" s="4" t="s">
        <v>48</v>
      </c>
      <c r="C285" s="4" t="s">
        <v>100</v>
      </c>
      <c r="D285" s="52">
        <v>342500</v>
      </c>
      <c r="E285" s="37">
        <v>343.62</v>
      </c>
      <c r="F285" s="52">
        <v>222982</v>
      </c>
      <c r="G285" s="37">
        <v>527.79999999999995</v>
      </c>
      <c r="H285" s="56">
        <v>1176902</v>
      </c>
      <c r="Y285" s="134"/>
      <c r="AF285" s="213"/>
      <c r="AH285" s="18"/>
      <c r="AX285" s="18"/>
      <c r="BD285" s="18"/>
      <c r="BG285" s="18"/>
    </row>
    <row r="286" spans="1:107" ht="15.75" thickBot="1">
      <c r="A286" s="70" t="s">
        <v>93</v>
      </c>
      <c r="B286" s="71" t="s">
        <v>320</v>
      </c>
      <c r="C286" s="72" t="s">
        <v>359</v>
      </c>
      <c r="D286" s="73">
        <f>SUM(D280:D283)</f>
        <v>342500</v>
      </c>
      <c r="E286" s="74"/>
      <c r="F286" s="73">
        <f>SUM(F280:F283)</f>
        <v>222982</v>
      </c>
      <c r="G286" s="74"/>
      <c r="H286" s="73"/>
      <c r="I286" s="73">
        <f>SUM(I280:I283)</f>
        <v>1176902</v>
      </c>
      <c r="J286" s="156" t="e">
        <f>I286/$I$304</f>
        <v>#REF!</v>
      </c>
      <c r="K286" s="76"/>
      <c r="L286" s="138">
        <f>SUM(L280:L283)</f>
        <v>0</v>
      </c>
      <c r="M286" s="77">
        <f>L286/F286-1</f>
        <v>-1</v>
      </c>
      <c r="N286" s="77">
        <f>L286/I286-1</f>
        <v>-1</v>
      </c>
      <c r="Q286" s="138">
        <f>SUM(Q280:Q283)</f>
        <v>150000</v>
      </c>
      <c r="R286" s="138">
        <f>SUM(R280:R283)</f>
        <v>160000</v>
      </c>
      <c r="S286" s="138">
        <f>SUM(S280:S283)</f>
        <v>150000</v>
      </c>
      <c r="T286" s="138">
        <f>SUM(T280:T283)</f>
        <v>0</v>
      </c>
      <c r="U286" s="175">
        <f>S286/Q286-1</f>
        <v>0</v>
      </c>
      <c r="Y286" s="138">
        <f>SUM(Y280:Y283)</f>
        <v>150000</v>
      </c>
      <c r="AA286" s="138">
        <f>SUM(AA280:AA283)</f>
        <v>270000</v>
      </c>
      <c r="AB286" s="138">
        <f>SUM(AB280:AB283)</f>
        <v>120000</v>
      </c>
      <c r="AE286" s="138">
        <f>SUM(AE280:AE283)</f>
        <v>270000</v>
      </c>
      <c r="AF286" s="213"/>
      <c r="AH286" s="138">
        <f>SUM(AH280:AH281)</f>
        <v>240000</v>
      </c>
      <c r="AI286" s="20">
        <f t="shared" ref="AI286:AI288" si="629">AH286/AE286</f>
        <v>0.88888888888888884</v>
      </c>
      <c r="AK286" s="138">
        <f>SUM(AK280:AK281)</f>
        <v>250000</v>
      </c>
      <c r="AL286" s="229" t="e">
        <f>AK286/L286</f>
        <v>#DIV/0!</v>
      </c>
      <c r="AM286" s="20">
        <f>AK286/AE286</f>
        <v>0.92592592592592593</v>
      </c>
      <c r="AN286" s="20">
        <f>AK286/AH286</f>
        <v>1.0416666666666667</v>
      </c>
      <c r="AR286" s="138">
        <f>SUM(AR280:AR281)</f>
        <v>100000</v>
      </c>
      <c r="AS286" s="138">
        <f>SUM(AS280:AS281)</f>
        <v>350000</v>
      </c>
      <c r="AU286" s="138">
        <f>SUM(AU280:AU281)</f>
        <v>0</v>
      </c>
      <c r="AV286" s="138">
        <f>SUM(AV280:AV281)</f>
        <v>350000</v>
      </c>
      <c r="AX286" s="138">
        <f>SUM(AX280:AX281)</f>
        <v>0</v>
      </c>
      <c r="AY286" s="138">
        <f>SUM(AY280:AY281)</f>
        <v>350000</v>
      </c>
      <c r="BA286" s="138">
        <f>SUM(BA280:BA281)</f>
        <v>0</v>
      </c>
      <c r="BB286" s="138">
        <f>SUM(BB280:BB281)</f>
        <v>350000</v>
      </c>
      <c r="BD286" s="138">
        <f>SUM(BD280:BD281)</f>
        <v>0</v>
      </c>
      <c r="BE286" s="138">
        <f>SUM(BE280:BE281)</f>
        <v>350000</v>
      </c>
      <c r="BG286" s="138">
        <f>SUM(BG280:BG281)</f>
        <v>0</v>
      </c>
      <c r="BH286" s="138">
        <f>SUM(BH280:BH281)</f>
        <v>350000</v>
      </c>
      <c r="BJ286" s="138">
        <f>SUM(BJ280:BJ281)</f>
        <v>300000</v>
      </c>
      <c r="BK286" s="280">
        <f t="shared" ref="BK286" si="630">BJ286/BH286</f>
        <v>0.8571428571428571</v>
      </c>
      <c r="BM286" s="138">
        <f>SUM(BM280:BM281)</f>
        <v>350000</v>
      </c>
      <c r="BN286" s="280">
        <f t="shared" ref="BN286" si="631">BM286/BJ286</f>
        <v>1.1666666666666667</v>
      </c>
      <c r="BO286" s="280">
        <f t="shared" ref="BO286" si="632">BM286/BH286</f>
        <v>1</v>
      </c>
      <c r="BQ286" s="138">
        <f>SUM(BQ280:BQ281)</f>
        <v>0</v>
      </c>
      <c r="BR286" s="138">
        <f>SUM(BR280:BR281)</f>
        <v>350000</v>
      </c>
      <c r="BT286" s="138">
        <f>SUM(BT280:BT281)</f>
        <v>0</v>
      </c>
      <c r="BU286" s="138">
        <f>SUM(BU280:BU281)</f>
        <v>350000</v>
      </c>
      <c r="BW286" s="138">
        <f>SUM(BW280:BW281)</f>
        <v>0</v>
      </c>
      <c r="BX286" s="138">
        <f>SUM(BX280:BX281)</f>
        <v>350000</v>
      </c>
      <c r="BZ286" s="138">
        <f>SUM(BZ280:BZ281)</f>
        <v>0</v>
      </c>
      <c r="CA286" s="138">
        <f>SUM(CA280:CA281)</f>
        <v>350000</v>
      </c>
      <c r="CC286" s="138">
        <f>SUM(CC280:CC281)</f>
        <v>0</v>
      </c>
      <c r="CD286" s="138">
        <f>SUM(CD280:CD281)</f>
        <v>350000</v>
      </c>
      <c r="CF286" s="138">
        <f>SUM(CF280:CF281)</f>
        <v>0</v>
      </c>
      <c r="CG286" s="138">
        <f>SUM(CG280:CG281)</f>
        <v>350000</v>
      </c>
      <c r="CI286" s="138">
        <f>SUM(CI280:CI281)</f>
        <v>0</v>
      </c>
      <c r="CJ286" s="138">
        <f>SUM(CJ280:CJ281)</f>
        <v>350000</v>
      </c>
      <c r="CL286" s="391">
        <f>SUM(CL280:CL281)</f>
        <v>0</v>
      </c>
      <c r="CM286" s="138">
        <f>SUM(CM280:CM281)</f>
        <v>350000</v>
      </c>
      <c r="CO286" s="138">
        <f>SUM(CO280:CO281)</f>
        <v>0</v>
      </c>
      <c r="CP286" s="138">
        <f>SUM(CP280:CP281)</f>
        <v>350000</v>
      </c>
      <c r="CR286" s="138">
        <f>SUM(CR280:CR281)</f>
        <v>0</v>
      </c>
      <c r="CS286" s="138">
        <f>SUM(CS280:CS281)</f>
        <v>350000</v>
      </c>
      <c r="CU286" s="138">
        <f>SUM(CU280:CU281)</f>
        <v>100000</v>
      </c>
      <c r="CV286" s="138">
        <f>SUM(CV280:CV281)</f>
        <v>450000</v>
      </c>
      <c r="CX286" s="138">
        <f>SUM(CX280:CX281)</f>
        <v>0</v>
      </c>
      <c r="CY286" s="138">
        <f>SUM(CY280:CY281)</f>
        <v>450000</v>
      </c>
      <c r="DA286" s="138">
        <f>SUM(DA280:DA281)</f>
        <v>450000</v>
      </c>
      <c r="DC286" s="138">
        <f>SUM(DC280:DC281)</f>
        <v>200000</v>
      </c>
    </row>
    <row r="287" spans="1:107" ht="15.75" outlineLevel="2" thickTop="1">
      <c r="A287" s="14" t="s">
        <v>250</v>
      </c>
      <c r="B287" s="14" t="s">
        <v>251</v>
      </c>
      <c r="C287" s="4" t="s">
        <v>252</v>
      </c>
      <c r="D287" s="52">
        <v>75000</v>
      </c>
      <c r="E287" s="37">
        <v>17.45</v>
      </c>
      <c r="F287" s="52">
        <v>75000</v>
      </c>
      <c r="G287" s="37">
        <v>17.45</v>
      </c>
      <c r="H287" s="56">
        <v>13084</v>
      </c>
      <c r="I287" s="18">
        <v>13084</v>
      </c>
      <c r="K287" t="s">
        <v>336</v>
      </c>
      <c r="L287" s="134">
        <v>20000</v>
      </c>
      <c r="M287" s="20">
        <f>L287/F287-1</f>
        <v>-0.73333333333333339</v>
      </c>
      <c r="N287" s="20">
        <f>L287/I287-1</f>
        <v>0.52858453072454914</v>
      </c>
      <c r="Q287" s="134">
        <v>60000</v>
      </c>
      <c r="R287" s="18">
        <v>7570</v>
      </c>
      <c r="S287" s="134">
        <v>30000</v>
      </c>
      <c r="T287" s="18">
        <f>S287-Q287</f>
        <v>-30000</v>
      </c>
      <c r="U287" s="19">
        <f>S287/Q287-1</f>
        <v>-0.5</v>
      </c>
      <c r="Y287" s="134">
        <v>30000</v>
      </c>
      <c r="AA287" s="134">
        <v>20000</v>
      </c>
      <c r="AB287" s="216">
        <f t="shared" ref="AB287" si="633">AA287-Y287</f>
        <v>-10000</v>
      </c>
      <c r="AC287" s="219">
        <f t="shared" ref="AC287" si="634">AA287-Y287</f>
        <v>-10000</v>
      </c>
      <c r="AD287" s="219"/>
      <c r="AE287" s="134">
        <v>20000</v>
      </c>
      <c r="AF287" s="213"/>
      <c r="AH287" s="18">
        <v>14304</v>
      </c>
      <c r="AI287" s="20">
        <f t="shared" si="629"/>
        <v>0.71519999999999995</v>
      </c>
      <c r="AK287" s="134">
        <v>20000</v>
      </c>
      <c r="AP287" s="260">
        <v>20000</v>
      </c>
      <c r="AS287" s="18">
        <f>AR287+AK287</f>
        <v>20000</v>
      </c>
      <c r="AV287" s="18">
        <f t="shared" ref="AV287" si="635">AS287+AU287</f>
        <v>20000</v>
      </c>
      <c r="AX287" s="18"/>
      <c r="AY287" s="18">
        <f t="shared" ref="AY287" si="636">AV287+AX287</f>
        <v>20000</v>
      </c>
      <c r="BB287" s="18">
        <f t="shared" ref="BB287" si="637">AY287+BA287</f>
        <v>20000</v>
      </c>
      <c r="BD287" s="18">
        <v>7000</v>
      </c>
      <c r="BE287" s="18">
        <f t="shared" ref="BE287" si="638">BB287+BD287</f>
        <v>27000</v>
      </c>
      <c r="BG287" s="18"/>
      <c r="BH287" s="18">
        <f t="shared" ref="BH287" si="639">BE287+BG287</f>
        <v>27000</v>
      </c>
      <c r="BJ287" s="18">
        <v>22751</v>
      </c>
      <c r="BK287" s="279">
        <f t="shared" ref="BK287" si="640">BJ287/BH287</f>
        <v>0.84262962962962962</v>
      </c>
      <c r="BM287" s="289">
        <v>23000</v>
      </c>
      <c r="BN287" s="279">
        <f t="shared" ref="BN287" si="641">BM287/BJ287</f>
        <v>1.010944573864885</v>
      </c>
      <c r="BO287" s="279">
        <f t="shared" ref="BO287" si="642">BM287/BH287</f>
        <v>0.85185185185185186</v>
      </c>
      <c r="BQ287" s="349">
        <v>-50</v>
      </c>
      <c r="BR287" s="18">
        <f t="shared" ref="BR287" si="643">BM287+BQ287</f>
        <v>22950</v>
      </c>
      <c r="BU287" s="18">
        <f>BR287+BT287</f>
        <v>22950</v>
      </c>
      <c r="BX287" s="18">
        <f>BU287+BW287</f>
        <v>22950</v>
      </c>
      <c r="CA287" s="18">
        <f>BX287+BZ287</f>
        <v>22950</v>
      </c>
      <c r="CD287" s="18">
        <f>CA287+CC287</f>
        <v>22950</v>
      </c>
      <c r="CG287" s="18">
        <f>CD287+CF287</f>
        <v>22950</v>
      </c>
      <c r="CJ287" s="18">
        <f>CG287+CI287</f>
        <v>22950</v>
      </c>
      <c r="CM287" s="18">
        <f>CJ287+CL287</f>
        <v>22950</v>
      </c>
      <c r="CP287" s="18">
        <f>CM287+CO287</f>
        <v>22950</v>
      </c>
      <c r="CS287" s="18">
        <f>CP287+CR287</f>
        <v>22950</v>
      </c>
      <c r="CV287" s="18">
        <f>CS287+CU287</f>
        <v>22950</v>
      </c>
      <c r="CY287" s="18">
        <f>CV287+CX287</f>
        <v>22950</v>
      </c>
      <c r="DA287" s="289">
        <v>20265</v>
      </c>
      <c r="DC287" s="289">
        <v>20000</v>
      </c>
    </row>
    <row r="288" spans="1:107" outlineLevel="2">
      <c r="A288" s="14" t="s">
        <v>250</v>
      </c>
      <c r="B288" s="14" t="s">
        <v>253</v>
      </c>
      <c r="C288" s="4" t="s">
        <v>254</v>
      </c>
      <c r="D288" s="52">
        <v>0</v>
      </c>
      <c r="E288" s="37">
        <v>0</v>
      </c>
      <c r="F288" s="52">
        <v>38380</v>
      </c>
      <c r="G288" s="37">
        <v>100</v>
      </c>
      <c r="H288" s="56">
        <v>38380</v>
      </c>
      <c r="I288" s="18">
        <v>38380</v>
      </c>
      <c r="K288" t="s">
        <v>336</v>
      </c>
      <c r="L288" s="134">
        <v>40000</v>
      </c>
      <c r="M288" s="20">
        <f>L288/F288-1</f>
        <v>4.2209484106305428E-2</v>
      </c>
      <c r="N288" s="20">
        <f>L288/I288-1</f>
        <v>4.2209484106305428E-2</v>
      </c>
      <c r="Q288" s="134">
        <v>0</v>
      </c>
      <c r="R288" s="18">
        <v>0</v>
      </c>
      <c r="S288" s="134">
        <v>0</v>
      </c>
      <c r="T288" s="18">
        <f>S288-Q288</f>
        <v>0</v>
      </c>
      <c r="U288" s="19" t="e">
        <f>S288/Q288-1</f>
        <v>#DIV/0!</v>
      </c>
      <c r="Y288" s="134">
        <v>0</v>
      </c>
      <c r="AE288" s="134">
        <v>38600</v>
      </c>
      <c r="AF288" s="213">
        <f>AE288-AA288</f>
        <v>38600</v>
      </c>
      <c r="AH288" s="18">
        <v>38570</v>
      </c>
      <c r="AI288" s="20">
        <f t="shared" si="629"/>
        <v>0.99922279792746116</v>
      </c>
      <c r="AX288" s="18"/>
      <c r="BD288" s="18"/>
      <c r="BG288" s="18"/>
    </row>
    <row r="289" spans="1:107" outlineLevel="2">
      <c r="A289" s="14" t="s">
        <v>250</v>
      </c>
      <c r="B289" s="4" t="s">
        <v>46</v>
      </c>
      <c r="C289" s="4" t="s">
        <v>255</v>
      </c>
      <c r="D289" s="52">
        <v>75000</v>
      </c>
      <c r="E289" s="37">
        <v>68.62</v>
      </c>
      <c r="F289" s="52">
        <v>113380</v>
      </c>
      <c r="G289" s="37">
        <v>45.39</v>
      </c>
      <c r="H289" s="56">
        <v>51464</v>
      </c>
      <c r="Y289" s="134"/>
      <c r="AF289" s="213"/>
      <c r="AH289" s="18"/>
      <c r="AX289" s="18"/>
      <c r="BD289" s="18"/>
      <c r="BG289" s="18"/>
    </row>
    <row r="290" spans="1:107" ht="14.25" customHeight="1" outlineLevel="2">
      <c r="A290" s="14" t="s">
        <v>256</v>
      </c>
      <c r="B290" s="4" t="s">
        <v>48</v>
      </c>
      <c r="C290" s="4" t="s">
        <v>255</v>
      </c>
      <c r="D290" s="52">
        <v>75000</v>
      </c>
      <c r="E290" s="37">
        <v>68.62</v>
      </c>
      <c r="F290" s="52">
        <v>113380</v>
      </c>
      <c r="G290" s="37">
        <v>45.39</v>
      </c>
      <c r="H290" s="56">
        <v>51464</v>
      </c>
      <c r="Y290" s="134"/>
      <c r="AF290" s="213"/>
      <c r="AH290" s="18"/>
      <c r="AX290" s="18"/>
      <c r="BD290" s="18"/>
      <c r="BG290" s="18"/>
    </row>
    <row r="291" spans="1:107" ht="15.75" thickBot="1">
      <c r="A291" s="70" t="s">
        <v>256</v>
      </c>
      <c r="B291" s="71" t="s">
        <v>320</v>
      </c>
      <c r="C291" s="72" t="s">
        <v>361</v>
      </c>
      <c r="D291" s="73">
        <f>SUM(D287:D288)</f>
        <v>75000</v>
      </c>
      <c r="E291" s="74"/>
      <c r="F291" s="73">
        <f>SUM(F287:F288)</f>
        <v>113380</v>
      </c>
      <c r="G291" s="74"/>
      <c r="H291" s="73"/>
      <c r="I291" s="73">
        <f>SUM(I287:I288)</f>
        <v>51464</v>
      </c>
      <c r="J291" s="156" t="e">
        <f>I291/$I$304</f>
        <v>#REF!</v>
      </c>
      <c r="K291" s="76"/>
      <c r="L291" s="138">
        <f>SUM(L287:L288)</f>
        <v>60000</v>
      </c>
      <c r="M291" s="77">
        <f>L291/F291-1</f>
        <v>-0.47080613864879173</v>
      </c>
      <c r="N291" s="77">
        <f>L291/I291-1</f>
        <v>0.16586351624436491</v>
      </c>
      <c r="O291" s="20">
        <f>L291/$L$304</f>
        <v>1.3921113947491674E-2</v>
      </c>
      <c r="P291" s="20"/>
      <c r="Q291" s="138">
        <f>SUM(Q287:Q288)</f>
        <v>60000</v>
      </c>
      <c r="R291" s="138">
        <f>SUM(R287:R288)</f>
        <v>7570</v>
      </c>
      <c r="S291" s="138">
        <f>SUM(S287:S288)</f>
        <v>30000</v>
      </c>
      <c r="T291" s="138">
        <f>SUM(T287:T288)</f>
        <v>-30000</v>
      </c>
      <c r="U291" s="175">
        <f>S291/Q291-1</f>
        <v>-0.5</v>
      </c>
      <c r="Y291" s="138">
        <f>SUM(Y287:Y288)</f>
        <v>30000</v>
      </c>
      <c r="AA291" s="138">
        <f>SUM(AA287:AA288)</f>
        <v>20000</v>
      </c>
      <c r="AB291" s="138">
        <f>SUM(AB287:AB288)</f>
        <v>-10000</v>
      </c>
      <c r="AE291" s="138">
        <f>SUM(AE287:AE288)</f>
        <v>58600</v>
      </c>
      <c r="AF291" s="213"/>
      <c r="AH291" s="138">
        <f>SUM(AH287:AH288)</f>
        <v>52874</v>
      </c>
      <c r="AI291" s="20">
        <f t="shared" ref="AI291:AI292" si="644">AH291/AE291</f>
        <v>0.90228668941979517</v>
      </c>
      <c r="AK291" s="138">
        <f>SUM(AK287:AK288)</f>
        <v>20000</v>
      </c>
      <c r="AL291" s="229">
        <f>AK291/L291</f>
        <v>0.33333333333333331</v>
      </c>
      <c r="AM291" s="20">
        <f>AK291/AE291</f>
        <v>0.34129692832764508</v>
      </c>
      <c r="AN291" s="20">
        <f>AK291/AH291</f>
        <v>0.37825774482732533</v>
      </c>
      <c r="AS291" s="138">
        <f>SUM(AS287:AS288)</f>
        <v>20000</v>
      </c>
      <c r="AU291" s="138">
        <f>SUM(AU287:AU288)</f>
        <v>0</v>
      </c>
      <c r="AV291" s="138">
        <f>SUM(AV287:AV288)</f>
        <v>20000</v>
      </c>
      <c r="AX291" s="138">
        <f>SUM(AX287:AX288)</f>
        <v>0</v>
      </c>
      <c r="AY291" s="138">
        <f>SUM(AY287:AY288)</f>
        <v>20000</v>
      </c>
      <c r="BA291" s="138">
        <f>SUM(BA287:BA288)</f>
        <v>0</v>
      </c>
      <c r="BB291" s="138">
        <f>SUM(BB287:BB288)</f>
        <v>20000</v>
      </c>
      <c r="BD291" s="138">
        <f>SUM(BD287:BD288)</f>
        <v>7000</v>
      </c>
      <c r="BE291" s="138">
        <f>SUM(BE287:BE288)</f>
        <v>27000</v>
      </c>
      <c r="BG291" s="138">
        <f>SUM(BG287:BG288)</f>
        <v>0</v>
      </c>
      <c r="BH291" s="138">
        <f>SUM(BH287:BH288)</f>
        <v>27000</v>
      </c>
      <c r="BJ291" s="138">
        <f>SUM(BJ287:BJ288)</f>
        <v>22751</v>
      </c>
      <c r="BK291" s="280">
        <f t="shared" ref="BK291" si="645">BJ291/BH291</f>
        <v>0.84262962962962962</v>
      </c>
      <c r="BM291" s="138">
        <f>SUM(BM287:BM288)</f>
        <v>23000</v>
      </c>
      <c r="BN291" s="280">
        <f t="shared" ref="BN291" si="646">BM291/BJ291</f>
        <v>1.010944573864885</v>
      </c>
      <c r="BO291" s="280">
        <f t="shared" ref="BO291" si="647">BM291/BH291</f>
        <v>0.85185185185185186</v>
      </c>
      <c r="BQ291" s="138">
        <f>SUM(BQ287:BQ288)</f>
        <v>-50</v>
      </c>
      <c r="BR291" s="138">
        <f>SUM(BR287:BR288)</f>
        <v>22950</v>
      </c>
      <c r="BT291" s="138">
        <f>SUM(BT287:BT288)</f>
        <v>0</v>
      </c>
      <c r="BU291" s="138">
        <f>SUM(BU287:BU288)</f>
        <v>22950</v>
      </c>
      <c r="BW291" s="138">
        <f>SUM(BW287:BW288)</f>
        <v>0</v>
      </c>
      <c r="BX291" s="138">
        <f>SUM(BX287:BX288)</f>
        <v>22950</v>
      </c>
      <c r="BZ291" s="138">
        <f>SUM(BZ287:BZ288)</f>
        <v>0</v>
      </c>
      <c r="CA291" s="138">
        <f>SUM(CA287:CA288)</f>
        <v>22950</v>
      </c>
      <c r="CC291" s="138">
        <f>SUM(CC287:CC288)</f>
        <v>0</v>
      </c>
      <c r="CD291" s="138">
        <f>SUM(CD287:CD288)</f>
        <v>22950</v>
      </c>
      <c r="CF291" s="138">
        <f>SUM(CF287:CF288)</f>
        <v>0</v>
      </c>
      <c r="CG291" s="138">
        <f>SUM(CG287:CG288)</f>
        <v>22950</v>
      </c>
      <c r="CI291" s="138">
        <f>SUM(CI287:CI288)</f>
        <v>0</v>
      </c>
      <c r="CJ291" s="138">
        <f>SUM(CJ287:CJ288)</f>
        <v>22950</v>
      </c>
      <c r="CL291" s="391">
        <f>SUM(CL287:CL288)</f>
        <v>0</v>
      </c>
      <c r="CM291" s="138">
        <f>SUM(CM287:CM288)</f>
        <v>22950</v>
      </c>
      <c r="CO291" s="138">
        <f>SUM(CO287:CO288)</f>
        <v>0</v>
      </c>
      <c r="CP291" s="138">
        <f>SUM(CP287:CP288)</f>
        <v>22950</v>
      </c>
      <c r="CR291" s="138">
        <f>SUM(CR287:CR288)</f>
        <v>0</v>
      </c>
      <c r="CS291" s="138">
        <f>SUM(CS287:CS288)</f>
        <v>22950</v>
      </c>
      <c r="CU291" s="138">
        <f>SUM(CU287:CU288)</f>
        <v>0</v>
      </c>
      <c r="CV291" s="138">
        <f>SUM(CV287:CV288)</f>
        <v>22950</v>
      </c>
      <c r="CX291" s="138">
        <f>SUM(CX287:CX288)</f>
        <v>0</v>
      </c>
      <c r="CY291" s="138">
        <f>SUM(CY287:CY288)</f>
        <v>22950</v>
      </c>
      <c r="DA291" s="138">
        <f>SUM(DA287:DA288)</f>
        <v>20265</v>
      </c>
      <c r="DC291" s="138">
        <f>SUM(DC287:DC288)</f>
        <v>20000</v>
      </c>
    </row>
    <row r="292" spans="1:107" ht="15.75" outlineLevel="2" thickTop="1">
      <c r="A292" s="14" t="s">
        <v>257</v>
      </c>
      <c r="B292" s="14" t="s">
        <v>258</v>
      </c>
      <c r="C292" s="4" t="s">
        <v>259</v>
      </c>
      <c r="D292" s="52">
        <v>0</v>
      </c>
      <c r="E292" s="37">
        <v>0</v>
      </c>
      <c r="F292" s="52">
        <v>30126</v>
      </c>
      <c r="G292" s="37">
        <v>100</v>
      </c>
      <c r="H292" s="56">
        <v>30126</v>
      </c>
      <c r="I292" s="18">
        <v>30126</v>
      </c>
      <c r="L292" s="134">
        <v>0</v>
      </c>
      <c r="M292" s="20">
        <f>L292/F292-1</f>
        <v>-1</v>
      </c>
      <c r="N292" s="20">
        <f>L292/I292-1</f>
        <v>-1</v>
      </c>
      <c r="Q292" s="134">
        <v>15800</v>
      </c>
      <c r="R292" s="18">
        <v>15717</v>
      </c>
      <c r="S292" s="134">
        <v>15800</v>
      </c>
      <c r="T292" s="18">
        <f>S292-Q292</f>
        <v>0</v>
      </c>
      <c r="U292" s="19">
        <f>S292/Q292-1</f>
        <v>0</v>
      </c>
      <c r="V292" s="159">
        <v>15800</v>
      </c>
      <c r="W292" s="18">
        <f>V292-L301</f>
        <v>5600</v>
      </c>
      <c r="Y292" s="134">
        <v>15800</v>
      </c>
      <c r="AA292" s="134">
        <v>15800</v>
      </c>
      <c r="AB292" s="216">
        <f t="shared" ref="AB292" si="648">AA292-Y292</f>
        <v>0</v>
      </c>
      <c r="AC292" s="219">
        <f t="shared" ref="AC292" si="649">AA292-Y292</f>
        <v>0</v>
      </c>
      <c r="AD292" s="219"/>
      <c r="AE292" s="134">
        <v>15800</v>
      </c>
      <c r="AF292" s="213"/>
      <c r="AH292" s="18">
        <v>15717</v>
      </c>
      <c r="AI292" s="20">
        <f t="shared" si="644"/>
        <v>0.99474683544303799</v>
      </c>
      <c r="AK292" s="134">
        <v>11000</v>
      </c>
      <c r="AP292" s="260">
        <v>11000</v>
      </c>
      <c r="AS292" s="18">
        <f>AR292+AK292</f>
        <v>11000</v>
      </c>
      <c r="AV292" s="18">
        <f t="shared" ref="AV292" si="650">AS292+AU292</f>
        <v>11000</v>
      </c>
      <c r="AX292" s="18"/>
      <c r="AY292" s="18">
        <f t="shared" ref="AY292" si="651">AV292+AX292</f>
        <v>11000</v>
      </c>
      <c r="BB292" s="18">
        <f t="shared" ref="BB292" si="652">AY292+BA292</f>
        <v>11000</v>
      </c>
      <c r="BD292" s="18"/>
      <c r="BE292" s="18">
        <f t="shared" ref="BE292" si="653">BB292+BD292</f>
        <v>11000</v>
      </c>
      <c r="BG292" s="18"/>
      <c r="BH292" s="18">
        <f t="shared" ref="BH292" si="654">BE292+BG292</f>
        <v>11000</v>
      </c>
      <c r="BJ292" s="18">
        <v>10534</v>
      </c>
      <c r="BK292" s="279">
        <f t="shared" ref="BK292" si="655">BJ292/BH292</f>
        <v>0.95763636363636362</v>
      </c>
      <c r="BM292" s="289">
        <v>14500</v>
      </c>
      <c r="BN292" s="279">
        <f t="shared" ref="BN292:BN298" si="656">BM292/BJ292</f>
        <v>1.37649515853427</v>
      </c>
      <c r="BO292" s="279">
        <f t="shared" ref="BO292:BO298" si="657">BM292/BH292</f>
        <v>1.3181818181818181</v>
      </c>
      <c r="BQ292" s="289"/>
      <c r="BR292" s="18">
        <f t="shared" ref="BR292" si="658">BM292+BQ292</f>
        <v>14500</v>
      </c>
      <c r="BT292" s="289"/>
      <c r="BU292" s="18">
        <f>BR292+BT292</f>
        <v>14500</v>
      </c>
      <c r="BW292" s="289"/>
      <c r="BX292" s="18">
        <f>BU292+BW292</f>
        <v>14500</v>
      </c>
      <c r="BZ292" s="289"/>
      <c r="CA292" s="18">
        <f>BX292+BZ292</f>
        <v>14500</v>
      </c>
      <c r="CC292" s="289"/>
      <c r="CD292" s="18">
        <f>CA292+CC292</f>
        <v>14500</v>
      </c>
      <c r="CF292" s="289"/>
      <c r="CG292" s="18">
        <f>CD292+CF292</f>
        <v>14500</v>
      </c>
      <c r="CI292" s="289"/>
      <c r="CJ292" s="18">
        <f>CG292+CI292</f>
        <v>14500</v>
      </c>
      <c r="CM292" s="18">
        <f>CJ292+CL292</f>
        <v>14500</v>
      </c>
      <c r="CP292" s="18">
        <f>CM292+CO292</f>
        <v>14500</v>
      </c>
      <c r="CS292" s="18">
        <f>CP292+CR292</f>
        <v>14500</v>
      </c>
      <c r="CV292" s="18">
        <f>CS292+CU292</f>
        <v>14500</v>
      </c>
      <c r="CY292" s="18">
        <f>CV292+CX292</f>
        <v>14500</v>
      </c>
      <c r="DA292" s="289">
        <v>14424</v>
      </c>
      <c r="DC292" s="289">
        <v>30000</v>
      </c>
    </row>
    <row r="293" spans="1:107" outlineLevel="2">
      <c r="A293" s="14" t="s">
        <v>257</v>
      </c>
      <c r="B293" s="4" t="s">
        <v>46</v>
      </c>
      <c r="C293" s="4" t="s">
        <v>260</v>
      </c>
      <c r="D293" s="52">
        <v>0</v>
      </c>
      <c r="E293" s="37">
        <v>0</v>
      </c>
      <c r="F293" s="52">
        <v>30126</v>
      </c>
      <c r="G293" s="37">
        <v>100</v>
      </c>
      <c r="H293" s="56">
        <v>30126</v>
      </c>
      <c r="Y293" s="134"/>
      <c r="AF293" s="213"/>
      <c r="AH293" s="18"/>
      <c r="AX293" s="18"/>
      <c r="BD293" s="18"/>
      <c r="BG293" s="18"/>
      <c r="BN293" s="279" t="e">
        <f t="shared" si="656"/>
        <v>#DIV/0!</v>
      </c>
      <c r="BO293" s="279" t="e">
        <f t="shared" si="657"/>
        <v>#DIV/0!</v>
      </c>
      <c r="CO293" s="327"/>
    </row>
    <row r="294" spans="1:107" outlineLevel="2">
      <c r="A294" s="381" t="s">
        <v>257</v>
      </c>
      <c r="B294" s="381" t="s">
        <v>427</v>
      </c>
      <c r="C294" s="4" t="s">
        <v>428</v>
      </c>
      <c r="D294" s="52"/>
      <c r="E294" s="37"/>
      <c r="F294" s="52"/>
      <c r="G294" s="37"/>
      <c r="H294" s="56"/>
      <c r="Y294" s="134"/>
      <c r="AF294" s="213"/>
      <c r="AH294" s="18"/>
      <c r="AX294" s="18"/>
      <c r="BD294" s="18"/>
      <c r="BG294" s="18"/>
      <c r="BN294" s="279"/>
      <c r="BO294" s="279"/>
      <c r="CF294" s="290">
        <v>10</v>
      </c>
      <c r="CG294" s="18">
        <f>CD294+CF294</f>
        <v>10</v>
      </c>
      <c r="CI294" s="290"/>
      <c r="CJ294" s="18">
        <f>CG294+CI294</f>
        <v>10</v>
      </c>
      <c r="CM294" s="18">
        <f>CJ294+CL294</f>
        <v>10</v>
      </c>
      <c r="CO294" s="327"/>
      <c r="CP294" s="18">
        <f>CM294+CO294</f>
        <v>10</v>
      </c>
      <c r="CR294" s="327"/>
      <c r="CS294" s="18">
        <f>CP294+CR294</f>
        <v>10</v>
      </c>
      <c r="CU294" s="327"/>
      <c r="CV294" s="18">
        <f>CS294+CU294</f>
        <v>10</v>
      </c>
      <c r="CX294" s="327"/>
      <c r="CY294" s="18">
        <f>CV294+CX294</f>
        <v>10</v>
      </c>
      <c r="DA294" s="327">
        <v>6</v>
      </c>
      <c r="DC294" s="327"/>
    </row>
    <row r="295" spans="1:107" outlineLevel="2">
      <c r="A295" s="351" t="s">
        <v>101</v>
      </c>
      <c r="B295" s="4" t="s">
        <v>117</v>
      </c>
      <c r="C295" s="4" t="s">
        <v>118</v>
      </c>
      <c r="D295" s="52"/>
      <c r="E295" s="37"/>
      <c r="F295" s="52"/>
      <c r="G295" s="37"/>
      <c r="H295" s="56"/>
      <c r="Y295" s="134"/>
      <c r="AF295" s="213"/>
      <c r="AH295" s="18"/>
      <c r="AX295" s="18"/>
      <c r="BD295" s="18"/>
      <c r="BG295" s="18"/>
      <c r="BN295" s="279"/>
      <c r="BO295" s="279"/>
      <c r="BQ295" s="285">
        <v>5000</v>
      </c>
      <c r="BR295" s="18">
        <f t="shared" ref="BR295:BR298" si="659">BM295+BQ295</f>
        <v>5000</v>
      </c>
      <c r="BU295" s="18">
        <f>BR295+BT295</f>
        <v>5000</v>
      </c>
      <c r="BX295" s="18">
        <f>BU295+BW295</f>
        <v>5000</v>
      </c>
      <c r="CA295" s="18">
        <f>BX295+BZ295</f>
        <v>5000</v>
      </c>
      <c r="CD295" s="18">
        <f>CA295+CC295</f>
        <v>5000</v>
      </c>
      <c r="CG295" s="18">
        <f>CD295+CF295</f>
        <v>5000</v>
      </c>
      <c r="CJ295" s="18">
        <f>CG295+CI295</f>
        <v>5000</v>
      </c>
      <c r="CM295" s="18">
        <f>CJ295+CL295</f>
        <v>5000</v>
      </c>
      <c r="CO295" s="327">
        <v>-2000</v>
      </c>
      <c r="CP295" s="18">
        <f>CM295+CO295</f>
        <v>3000</v>
      </c>
      <c r="CR295" s="327"/>
      <c r="CS295" s="18">
        <f>CP295+CR295</f>
        <v>3000</v>
      </c>
      <c r="CU295" s="327"/>
      <c r="CV295" s="18">
        <f>CS295+CU295</f>
        <v>3000</v>
      </c>
      <c r="CX295" s="327"/>
      <c r="CY295" s="18">
        <f>CV295+CX295</f>
        <v>3000</v>
      </c>
      <c r="DA295" s="327">
        <v>2100</v>
      </c>
      <c r="DC295" s="327">
        <v>2500</v>
      </c>
    </row>
    <row r="296" spans="1:107" outlineLevel="2">
      <c r="A296" s="14" t="s">
        <v>101</v>
      </c>
      <c r="B296" s="14" t="s">
        <v>261</v>
      </c>
      <c r="C296" s="4" t="s">
        <v>262</v>
      </c>
      <c r="D296" s="52">
        <v>10000</v>
      </c>
      <c r="E296" s="37">
        <v>65.69</v>
      </c>
      <c r="F296" s="52">
        <v>6569</v>
      </c>
      <c r="G296" s="37">
        <v>100</v>
      </c>
      <c r="H296" s="56">
        <v>6569</v>
      </c>
      <c r="I296" s="18">
        <v>6569</v>
      </c>
      <c r="K296" t="s">
        <v>336</v>
      </c>
      <c r="L296" s="134">
        <v>6700</v>
      </c>
      <c r="M296" s="20">
        <f>L296/F296-1</f>
        <v>1.9942152534632385E-2</v>
      </c>
      <c r="N296" s="20">
        <f>L296/I296-1</f>
        <v>1.9942152534632385E-2</v>
      </c>
      <c r="Q296" s="134">
        <v>6720</v>
      </c>
      <c r="R296" s="18">
        <v>6678</v>
      </c>
      <c r="S296" s="134">
        <v>6720</v>
      </c>
      <c r="T296" s="18">
        <f>S296-Q296</f>
        <v>0</v>
      </c>
      <c r="U296" s="19">
        <f>S296/Q296-1</f>
        <v>0</v>
      </c>
      <c r="V296" s="159">
        <v>3300</v>
      </c>
      <c r="W296">
        <v>3300</v>
      </c>
      <c r="Y296" s="134">
        <v>6720</v>
      </c>
      <c r="AA296" s="134">
        <v>6720</v>
      </c>
      <c r="AB296" s="216">
        <f t="shared" ref="AB296:AB297" si="660">AA296-Y296</f>
        <v>0</v>
      </c>
      <c r="AC296" s="219">
        <f t="shared" ref="AC296:AC297" si="661">AA296-Y296</f>
        <v>0</v>
      </c>
      <c r="AD296" s="219"/>
      <c r="AE296" s="134">
        <v>6720</v>
      </c>
      <c r="AF296" s="213"/>
      <c r="AH296" s="18">
        <v>6678.76</v>
      </c>
      <c r="AI296" s="20">
        <f t="shared" ref="AI296:AI297" si="662">AH296/AE296</f>
        <v>0.99386309523809524</v>
      </c>
      <c r="AK296" s="134">
        <v>6800</v>
      </c>
      <c r="AS296" s="18">
        <f t="shared" ref="AS296:AS297" si="663">AR296+AK296</f>
        <v>6800</v>
      </c>
      <c r="AV296" s="18">
        <f t="shared" ref="AV296:AV297" si="664">AS296+AU296</f>
        <v>6800</v>
      </c>
      <c r="AX296" s="18"/>
      <c r="AY296" s="18">
        <f t="shared" ref="AY296:AY297" si="665">AV296+AX296</f>
        <v>6800</v>
      </c>
      <c r="BB296" s="18">
        <f t="shared" ref="BB296:BB297" si="666">AY296+BA296</f>
        <v>6800</v>
      </c>
      <c r="BD296" s="18"/>
      <c r="BE296" s="18">
        <f t="shared" ref="BE296:BE297" si="667">BB296+BD296</f>
        <v>6800</v>
      </c>
      <c r="BG296" s="18"/>
      <c r="BH296" s="18">
        <f t="shared" ref="BH296:BH298" si="668">BE296+BG296</f>
        <v>6800</v>
      </c>
      <c r="BJ296" s="18">
        <v>6690.08</v>
      </c>
      <c r="BK296" s="279">
        <f t="shared" ref="BK296:BK298" si="669">BJ296/BH296</f>
        <v>0.98383529411764703</v>
      </c>
      <c r="BM296" s="289">
        <v>6700</v>
      </c>
      <c r="BN296" s="279">
        <f t="shared" si="656"/>
        <v>1.0014827924329754</v>
      </c>
      <c r="BO296" s="279">
        <f t="shared" si="657"/>
        <v>0.98529411764705888</v>
      </c>
      <c r="BQ296" s="349">
        <v>50</v>
      </c>
      <c r="BR296" s="18">
        <f t="shared" si="659"/>
        <v>6750</v>
      </c>
      <c r="BU296" s="18">
        <f>BR296+BT296</f>
        <v>6750</v>
      </c>
      <c r="BX296" s="18">
        <f>BU296+BW296</f>
        <v>6750</v>
      </c>
      <c r="CA296" s="18">
        <f>BX296+BZ296</f>
        <v>6750</v>
      </c>
      <c r="CD296" s="18">
        <f>CA296+CC296</f>
        <v>6750</v>
      </c>
      <c r="CG296" s="18">
        <f>CD296+CF296</f>
        <v>6750</v>
      </c>
      <c r="CJ296" s="18">
        <f>CG296+CI296</f>
        <v>6750</v>
      </c>
      <c r="CM296" s="18">
        <f>CJ296+CL296</f>
        <v>6750</v>
      </c>
      <c r="CO296" s="327"/>
      <c r="CP296" s="18">
        <f>CM296+CO296</f>
        <v>6750</v>
      </c>
      <c r="CR296" s="327"/>
      <c r="CS296" s="18">
        <f>CP296+CR296</f>
        <v>6750</v>
      </c>
      <c r="CU296" s="327"/>
      <c r="CV296" s="18">
        <f>CS296+CU296</f>
        <v>6750</v>
      </c>
      <c r="CX296" s="327"/>
      <c r="CY296" s="18">
        <f>CV296+CX296</f>
        <v>6750</v>
      </c>
      <c r="DA296" s="327">
        <v>6735.72</v>
      </c>
      <c r="DC296" s="327">
        <v>6750</v>
      </c>
    </row>
    <row r="297" spans="1:107" outlineLevel="2">
      <c r="A297" s="14" t="s">
        <v>101</v>
      </c>
      <c r="B297" s="14" t="s">
        <v>131</v>
      </c>
      <c r="C297" s="4" t="s">
        <v>132</v>
      </c>
      <c r="D297" s="52">
        <v>0</v>
      </c>
      <c r="E297" s="37">
        <v>0</v>
      </c>
      <c r="F297" s="52">
        <v>3480</v>
      </c>
      <c r="G297" s="37">
        <v>100</v>
      </c>
      <c r="H297" s="56">
        <v>3480</v>
      </c>
      <c r="I297" s="18">
        <v>3480</v>
      </c>
      <c r="K297" t="s">
        <v>336</v>
      </c>
      <c r="L297" s="134">
        <v>3500</v>
      </c>
      <c r="M297" s="20">
        <f>L297/F297-1</f>
        <v>5.7471264367816577E-3</v>
      </c>
      <c r="N297" s="20">
        <f>L297/I297-1</f>
        <v>5.7471264367816577E-3</v>
      </c>
      <c r="Q297" s="134">
        <v>3590</v>
      </c>
      <c r="R297" s="18">
        <v>3590</v>
      </c>
      <c r="S297" s="134">
        <v>3590</v>
      </c>
      <c r="T297" s="18">
        <f>S297-Q297</f>
        <v>0</v>
      </c>
      <c r="U297" s="19">
        <f>S297/Q297-1</f>
        <v>0</v>
      </c>
      <c r="V297" s="159">
        <v>0</v>
      </c>
      <c r="Y297" s="134">
        <v>3590</v>
      </c>
      <c r="AA297" s="134">
        <v>3590</v>
      </c>
      <c r="AB297" s="216">
        <f t="shared" si="660"/>
        <v>0</v>
      </c>
      <c r="AC297" s="219">
        <f t="shared" si="661"/>
        <v>0</v>
      </c>
      <c r="AD297" s="219"/>
      <c r="AE297" s="134">
        <v>3590</v>
      </c>
      <c r="AF297" s="213"/>
      <c r="AH297" s="18">
        <v>3590</v>
      </c>
      <c r="AI297" s="20">
        <f t="shared" si="662"/>
        <v>1</v>
      </c>
      <c r="AK297" s="134">
        <v>3600</v>
      </c>
      <c r="AS297" s="18">
        <f t="shared" si="663"/>
        <v>3600</v>
      </c>
      <c r="AV297" s="18">
        <f t="shared" si="664"/>
        <v>3600</v>
      </c>
      <c r="AX297" s="18"/>
      <c r="AY297" s="18">
        <f t="shared" si="665"/>
        <v>3600</v>
      </c>
      <c r="BB297" s="18">
        <f t="shared" si="666"/>
        <v>3600</v>
      </c>
      <c r="BD297" s="18"/>
      <c r="BE297" s="18">
        <f t="shared" si="667"/>
        <v>3600</v>
      </c>
      <c r="BG297" s="18"/>
      <c r="BH297" s="18">
        <f t="shared" si="668"/>
        <v>3600</v>
      </c>
      <c r="BJ297" s="18">
        <v>3550</v>
      </c>
      <c r="BK297" s="279">
        <f t="shared" si="669"/>
        <v>0.98611111111111116</v>
      </c>
      <c r="BM297" s="289">
        <v>3600</v>
      </c>
      <c r="BN297" s="279">
        <f t="shared" si="656"/>
        <v>1.0140845070422535</v>
      </c>
      <c r="BO297" s="279">
        <f t="shared" si="657"/>
        <v>1</v>
      </c>
      <c r="BQ297" s="289"/>
      <c r="BR297" s="18">
        <f t="shared" si="659"/>
        <v>3600</v>
      </c>
      <c r="BU297" s="18">
        <f>BR297+BT297</f>
        <v>3600</v>
      </c>
      <c r="BX297" s="18">
        <f>BU297+BW297</f>
        <v>3600</v>
      </c>
      <c r="CA297" s="18">
        <f>BX297+BZ297</f>
        <v>3600</v>
      </c>
      <c r="CD297" s="18">
        <f>CA297+CC297</f>
        <v>3600</v>
      </c>
      <c r="CG297" s="18">
        <f>CD297+CF297</f>
        <v>3600</v>
      </c>
      <c r="CJ297" s="18">
        <f>CG297+CI297</f>
        <v>3600</v>
      </c>
      <c r="CM297" s="18">
        <f>CJ297+CL297</f>
        <v>3600</v>
      </c>
      <c r="CO297" s="327"/>
      <c r="CP297" s="18">
        <f>CM297+CO297</f>
        <v>3600</v>
      </c>
      <c r="CR297" s="327"/>
      <c r="CS297" s="18">
        <f>CP297+CR297</f>
        <v>3600</v>
      </c>
      <c r="CU297" s="327"/>
      <c r="CV297" s="18">
        <f>CS297+CU297</f>
        <v>3600</v>
      </c>
      <c r="CX297" s="327"/>
      <c r="CY297" s="18">
        <f>CV297+CX297</f>
        <v>3600</v>
      </c>
      <c r="DA297" s="327">
        <v>3590</v>
      </c>
      <c r="DC297" s="327">
        <v>3600</v>
      </c>
    </row>
    <row r="298" spans="1:107" outlineLevel="2">
      <c r="A298" s="272" t="s">
        <v>101</v>
      </c>
      <c r="B298" s="272" t="s">
        <v>504</v>
      </c>
      <c r="C298" s="4" t="s">
        <v>505</v>
      </c>
      <c r="D298" s="52"/>
      <c r="E298" s="37"/>
      <c r="F298" s="52"/>
      <c r="G298" s="37"/>
      <c r="H298" s="56"/>
      <c r="M298" s="20"/>
      <c r="N298" s="20"/>
      <c r="U298" s="19"/>
      <c r="Y298" s="134"/>
      <c r="AB298" s="216"/>
      <c r="AC298" s="219"/>
      <c r="AD298" s="219"/>
      <c r="AF298" s="213"/>
      <c r="AH298" s="18"/>
      <c r="AI298" s="20"/>
      <c r="AS298" s="18"/>
      <c r="AV298" s="18"/>
      <c r="AX298" s="18"/>
      <c r="AY298" s="18"/>
      <c r="BB298" s="18"/>
      <c r="BD298" s="18"/>
      <c r="BE298" s="18"/>
      <c r="BG298" s="18">
        <v>1300</v>
      </c>
      <c r="BH298" s="18">
        <f t="shared" si="668"/>
        <v>1300</v>
      </c>
      <c r="BJ298" s="18">
        <v>1281.0999999999999</v>
      </c>
      <c r="BK298" s="279">
        <f t="shared" si="669"/>
        <v>0.98546153846153839</v>
      </c>
      <c r="BM298" s="289">
        <v>0</v>
      </c>
      <c r="BN298" s="279">
        <f t="shared" si="656"/>
        <v>0</v>
      </c>
      <c r="BO298" s="279">
        <f t="shared" si="657"/>
        <v>0</v>
      </c>
      <c r="BQ298" s="289"/>
      <c r="BR298" s="18">
        <f t="shared" si="659"/>
        <v>0</v>
      </c>
      <c r="BT298" s="289"/>
      <c r="BU298" s="18">
        <f>BR298+BT298</f>
        <v>0</v>
      </c>
      <c r="BW298" s="289"/>
      <c r="BX298" s="18">
        <f>BU298+BW298</f>
        <v>0</v>
      </c>
      <c r="BZ298" s="289"/>
      <c r="CA298" s="18">
        <f>BX298+BZ298</f>
        <v>0</v>
      </c>
      <c r="CC298" s="289"/>
      <c r="CD298" s="18">
        <f>CA298+CC298</f>
        <v>0</v>
      </c>
      <c r="CF298" s="289"/>
      <c r="CG298" s="18">
        <f>CD298+CF298</f>
        <v>0</v>
      </c>
      <c r="CI298" s="289"/>
      <c r="CJ298" s="18">
        <f>CG298+CI298</f>
        <v>0</v>
      </c>
      <c r="CM298" s="18">
        <f>CJ298+CL298</f>
        <v>0</v>
      </c>
      <c r="CP298" s="18">
        <f>CM298+CO298</f>
        <v>0</v>
      </c>
      <c r="CR298" s="327"/>
      <c r="CS298" s="18">
        <f>CP298+CR298</f>
        <v>0</v>
      </c>
      <c r="CU298" s="327"/>
      <c r="CV298" s="18">
        <f>CS298+CU298</f>
        <v>0</v>
      </c>
      <c r="CX298" s="327"/>
      <c r="CY298" s="18">
        <f>CV298+CX298</f>
        <v>0</v>
      </c>
      <c r="DA298" s="327"/>
      <c r="DC298" s="327"/>
    </row>
    <row r="299" spans="1:107" outlineLevel="2">
      <c r="A299" s="14" t="s">
        <v>101</v>
      </c>
      <c r="B299" s="4" t="s">
        <v>46</v>
      </c>
      <c r="C299" s="4" t="s">
        <v>104</v>
      </c>
      <c r="D299" s="52">
        <v>10000</v>
      </c>
      <c r="E299" s="37">
        <v>100.49</v>
      </c>
      <c r="F299" s="52">
        <v>10049</v>
      </c>
      <c r="G299" s="37">
        <v>100</v>
      </c>
      <c r="H299" s="56">
        <v>10049</v>
      </c>
      <c r="Y299" s="134"/>
      <c r="AF299" s="213"/>
      <c r="AH299" s="18"/>
      <c r="AX299" s="18"/>
      <c r="BD299" s="18"/>
      <c r="BG299" s="18"/>
    </row>
    <row r="300" spans="1:107" outlineLevel="2">
      <c r="A300" s="14" t="s">
        <v>105</v>
      </c>
      <c r="B300" s="4" t="s">
        <v>48</v>
      </c>
      <c r="C300" s="4" t="s">
        <v>106</v>
      </c>
      <c r="D300" s="52">
        <v>10000</v>
      </c>
      <c r="E300" s="37">
        <v>401.75</v>
      </c>
      <c r="F300" s="52">
        <v>40175</v>
      </c>
      <c r="G300" s="37">
        <v>100</v>
      </c>
      <c r="H300" s="56">
        <v>40175</v>
      </c>
      <c r="Y300" s="134"/>
      <c r="AF300" s="213"/>
      <c r="AH300" s="18"/>
      <c r="AX300" s="18"/>
      <c r="BD300" s="18"/>
      <c r="BG300" s="18"/>
    </row>
    <row r="301" spans="1:107" ht="15.75" thickBot="1">
      <c r="A301" s="70" t="s">
        <v>105</v>
      </c>
      <c r="B301" s="71" t="s">
        <v>320</v>
      </c>
      <c r="C301" s="72" t="s">
        <v>360</v>
      </c>
      <c r="D301" s="73">
        <f>D292+D296+D297</f>
        <v>10000</v>
      </c>
      <c r="E301" s="74"/>
      <c r="F301" s="73">
        <f>F292+F296+F297</f>
        <v>40175</v>
      </c>
      <c r="G301" s="74"/>
      <c r="H301" s="73"/>
      <c r="I301" s="73">
        <f>I292+I296+I297</f>
        <v>40175</v>
      </c>
      <c r="J301" s="75"/>
      <c r="K301" s="76"/>
      <c r="L301" s="138">
        <f>L292+L296+L297</f>
        <v>10200</v>
      </c>
      <c r="M301" s="77">
        <f>L301/F301-1</f>
        <v>-0.746110765401369</v>
      </c>
      <c r="N301" s="77">
        <f>L301/I301-1</f>
        <v>-0.746110765401369</v>
      </c>
      <c r="Q301" s="138">
        <f>Q292+Q296+Q297</f>
        <v>26110</v>
      </c>
      <c r="R301" s="138">
        <f>R292+R296+R297</f>
        <v>25985</v>
      </c>
      <c r="S301" s="138">
        <f>S292+S296+S297</f>
        <v>26110</v>
      </c>
      <c r="T301" s="138">
        <f>T292+T296+T297</f>
        <v>0</v>
      </c>
      <c r="U301" s="175">
        <f>S301/Q301-1</f>
        <v>0</v>
      </c>
      <c r="Y301" s="138">
        <f>Y292+Y296+Y297</f>
        <v>26110</v>
      </c>
      <c r="AA301" s="138">
        <f>AA292+AA296+AA297</f>
        <v>26110</v>
      </c>
      <c r="AB301" s="138">
        <f>AB292+AB296+AB297</f>
        <v>0</v>
      </c>
      <c r="AE301" s="138">
        <f>AE292+AE296+AE297</f>
        <v>26110</v>
      </c>
      <c r="AF301" s="213"/>
      <c r="AH301" s="138">
        <f>AH292+AH296+AH297</f>
        <v>25985.760000000002</v>
      </c>
      <c r="AI301" s="20">
        <f t="shared" ref="AI301" si="670">AH301/AE301</f>
        <v>0.99524166985829188</v>
      </c>
      <c r="AK301" s="138">
        <f>AK292+AK296+AK297</f>
        <v>21400</v>
      </c>
      <c r="AL301" s="229">
        <f>AK301/L301</f>
        <v>2.0980392156862746</v>
      </c>
      <c r="AM301" s="20">
        <f>AK301/AE301</f>
        <v>0.81960934507851402</v>
      </c>
      <c r="AN301" s="20">
        <f>AK301/AH301</f>
        <v>0.8235279630074317</v>
      </c>
      <c r="AS301" s="138">
        <f>AS292+AS296+AS297</f>
        <v>21400</v>
      </c>
      <c r="AU301" s="138">
        <f>AU292+AU296+AU297</f>
        <v>0</v>
      </c>
      <c r="AV301" s="138">
        <f>AV292+AV296+AV297</f>
        <v>21400</v>
      </c>
      <c r="AX301" s="138">
        <f>AX292+AX296+AX297</f>
        <v>0</v>
      </c>
      <c r="AY301" s="138">
        <f>AY292+AY296+AY297</f>
        <v>21400</v>
      </c>
      <c r="BA301" s="138">
        <f>BA292+BA296+BA297</f>
        <v>0</v>
      </c>
      <c r="BB301" s="138">
        <f>BB292+BB296+BB297</f>
        <v>21400</v>
      </c>
      <c r="BD301" s="138">
        <f>BD292+BD296+BD297</f>
        <v>0</v>
      </c>
      <c r="BE301" s="138">
        <f>BE292+BE296+BE297</f>
        <v>21400</v>
      </c>
      <c r="BG301" s="138">
        <f>BG292+BG296+BG297+BG298</f>
        <v>1300</v>
      </c>
      <c r="BH301" s="138">
        <f>BH292+BH296+BH297+BH298</f>
        <v>22700</v>
      </c>
      <c r="BJ301" s="138">
        <f>BJ292+BJ296+BJ297+BJ298</f>
        <v>22055.18</v>
      </c>
      <c r="BK301" s="280">
        <f t="shared" ref="BK301" si="671">BJ301/BH301</f>
        <v>0.97159383259911891</v>
      </c>
      <c r="BM301" s="138">
        <f>BM292+BM296+BM297+BM298</f>
        <v>24800</v>
      </c>
      <c r="BN301" s="280">
        <f t="shared" ref="BN301" si="672">BM301/BJ301</f>
        <v>1.1244523962171245</v>
      </c>
      <c r="BO301" s="280">
        <f t="shared" ref="BO301" si="673">BM301/BH301</f>
        <v>1.0925110132158591</v>
      </c>
      <c r="BQ301" s="138">
        <f>BQ292+BQ296+BQ297+BQ298+BQ295</f>
        <v>5050</v>
      </c>
      <c r="BR301" s="138">
        <f>BR292+BR296+BR297+BR298+BR295</f>
        <v>29850</v>
      </c>
      <c r="BT301" s="138">
        <f>BT292+BT296+BT297+BT298+BT295</f>
        <v>0</v>
      </c>
      <c r="BU301" s="138">
        <f>BU292+BU296+BU297+BU298+BU295</f>
        <v>29850</v>
      </c>
      <c r="BW301" s="138">
        <f>BW292+BW296+BW297+BW298+BW295</f>
        <v>0</v>
      </c>
      <c r="BX301" s="138">
        <f>BX292+BX296+BX297+BX298+BX295</f>
        <v>29850</v>
      </c>
      <c r="BZ301" s="138">
        <f>BZ292+BZ296+BZ297+BZ298+BZ295</f>
        <v>0</v>
      </c>
      <c r="CA301" s="138">
        <f>CA292+CA296+CA297+CA298+CA295</f>
        <v>29850</v>
      </c>
      <c r="CC301" s="138">
        <f>CC292+CC296+CC297+CC298+CC295</f>
        <v>0</v>
      </c>
      <c r="CD301" s="138">
        <f>CD292+CD296+CD297+CD298+CD295</f>
        <v>29850</v>
      </c>
      <c r="CF301" s="138">
        <f>CF292+CF296+CF297+CF298+CF295+CF294</f>
        <v>10</v>
      </c>
      <c r="CG301" s="138">
        <f>CG292+CG296+CG297+CG298+CG295+CG294</f>
        <v>29860</v>
      </c>
      <c r="CI301" s="138">
        <f>CI292+CI296+CI297+CI298+CI295+CI294</f>
        <v>0</v>
      </c>
      <c r="CJ301" s="138">
        <f>CJ292+CJ296+CJ297+CJ298+CJ295+CJ294</f>
        <v>29860</v>
      </c>
      <c r="CL301" s="391">
        <f>CL292+CL296+CL297+CL298+CL295+CL294</f>
        <v>0</v>
      </c>
      <c r="CM301" s="138">
        <f>CM292+CM296+CM297+CM298+CM295+CM294</f>
        <v>29860</v>
      </c>
      <c r="CO301" s="138">
        <f>CO292+CO296+CO297+CO298+CO295+CO294</f>
        <v>-2000</v>
      </c>
      <c r="CP301" s="138">
        <f>CP292+CP296+CP297+CP298+CP295+CP294</f>
        <v>27860</v>
      </c>
      <c r="CR301" s="138">
        <f>CR292+CR296+CR297+CR298+CR295+CR294</f>
        <v>0</v>
      </c>
      <c r="CS301" s="138">
        <f>CS292+CS296+CS297+CS298+CS295+CS294</f>
        <v>27860</v>
      </c>
      <c r="CU301" s="138">
        <f>CU292+CU296+CU297+CU298+CU295+CU294</f>
        <v>0</v>
      </c>
      <c r="CV301" s="138">
        <f>CV292+CV296+CV297+CV298+CV295+CV294</f>
        <v>27860</v>
      </c>
      <c r="CX301" s="138">
        <f>CX292+CX296+CX297+CX298+CX295+CX294</f>
        <v>0</v>
      </c>
      <c r="CY301" s="138">
        <f>CY292+CY296+CY297+CY298+CY295+CY294</f>
        <v>27860</v>
      </c>
      <c r="DA301" s="138">
        <f>DA292+DA296+DA297+DA298+DA295+DA294</f>
        <v>26855.72</v>
      </c>
      <c r="DC301" s="138">
        <f>DC292+DC296+DC297+DC298+DC295+DC294</f>
        <v>42850</v>
      </c>
    </row>
    <row r="302" spans="1:107" ht="15.75" thickTop="1">
      <c r="A302" s="456" t="s">
        <v>263</v>
      </c>
      <c r="B302" s="455"/>
      <c r="C302" s="457"/>
      <c r="D302" s="52">
        <v>6607000</v>
      </c>
      <c r="E302" s="37">
        <v>75.77</v>
      </c>
      <c r="F302" s="52">
        <v>6836574.3399999999</v>
      </c>
      <c r="G302" s="37">
        <v>73.23</v>
      </c>
      <c r="H302" s="56">
        <v>5006207.7699999996</v>
      </c>
      <c r="AF302" s="213"/>
      <c r="AH302" s="18"/>
      <c r="AX302" s="18"/>
      <c r="BD302" s="18"/>
      <c r="BG302" s="18"/>
      <c r="BN302" s="279"/>
      <c r="BO302" s="279"/>
    </row>
    <row r="303" spans="1:107">
      <c r="AF303" s="213"/>
      <c r="AH303" s="18"/>
      <c r="AX303" s="18"/>
      <c r="BD303" s="18"/>
      <c r="BG303" s="18"/>
      <c r="BN303" s="279"/>
      <c r="BO303" s="279"/>
    </row>
    <row r="304" spans="1:107" ht="15.75" thickBot="1">
      <c r="A304" s="76"/>
      <c r="B304" s="76" t="s">
        <v>320</v>
      </c>
      <c r="C304" s="338" t="s">
        <v>321</v>
      </c>
      <c r="D304" s="78" t="e">
        <f>D8+D20+D28+D33+D38+D46+D58+D70+D74+D83+D97+D102+D111+D120+D131+D141+D165+D200+D207+D237+D269+D275+D279+D286+D291+D301</f>
        <v>#REF!</v>
      </c>
      <c r="E304" s="79"/>
      <c r="F304" s="78" t="e">
        <f>F8+F20+F28+F33+F38+F46+F58+F70+F74+F83+F97+F102+F111+F120+F131+F141+F165+F200+F207+F237+F269+F275+F279+F286+F291+F301</f>
        <v>#REF!</v>
      </c>
      <c r="G304" s="79"/>
      <c r="H304" s="78"/>
      <c r="I304" s="78" t="e">
        <f>I8+I20+I28+I33+I38+I46+I58+I70+I74+I83+I97+I102+I111+I120+I131+I141+I165+I200+I207+I237+I269+I275+I279+I286+I291+I301</f>
        <v>#REF!</v>
      </c>
      <c r="J304" s="76"/>
      <c r="K304" s="76"/>
      <c r="L304" s="145">
        <f>L8+L20+L28+L33+L38+L46+L58+L70+L74+L83+L97+L102+L111+L120+L131+L141+L165+L200+L207+L237+L269+L275+L279+L286+L291+L301</f>
        <v>4309999.92</v>
      </c>
      <c r="M304" s="77" t="e">
        <f>L304/F304-1</f>
        <v>#REF!</v>
      </c>
      <c r="N304" s="77" t="e">
        <f>L304/I304-1</f>
        <v>#REF!</v>
      </c>
      <c r="Q304" s="145">
        <f>Q8+Q20+Q28+Q33+Q38+Q46+Q58+Q70+Q74+Q83+Q97+Q102+Q111+Q120+Q131+Q141+Q165+Q200+Q207+Q237+Q269+Q275+Q279+Q286+Q291+Q301+Q174</f>
        <v>4914400</v>
      </c>
      <c r="R304" s="145">
        <f>R8+R20+R28+R33+R38+R46+R58+R70+R74+R83+R97+R102+R111+R120+R131+R141+R165+R200+R207+R237+R269+R275+R279+R286+R291+R301+R174</f>
        <v>2486906</v>
      </c>
      <c r="S304" s="145">
        <f>S8+S20+S28+S33+S38+S46+S58+S70+S74+S83+S97+S102+S111+S120+S131+S141+S165+S200+S207+S237+S269+S275+S279+S286+S291+S301+S174</f>
        <v>4536500</v>
      </c>
      <c r="T304" s="145">
        <f>T8+T20+T28+T33+T38+T46+T58+T70+T74+T83+T97+T102+T111+T120+T131+T141+T165+T200+T207+T237+T269+T275+T279+T286+T291+T301</f>
        <v>-387400</v>
      </c>
      <c r="U304" s="175">
        <f>S304/Q304-1</f>
        <v>-7.6896467524011025E-2</v>
      </c>
      <c r="Y304" s="145">
        <f>Y8+Y20+Y28+Y33+Y38+Y46+Y58+Y70+Y74+Y83+Y97+Y102+Y111+Y120+Y131+Y141+Y165+Y200+Y207+Y237+Y269+Y275+Y279+Y286+Y291+Y301+Y174</f>
        <v>4572200</v>
      </c>
      <c r="Z304" s="145"/>
      <c r="AA304" s="145">
        <f>AA8+AA20+AA28+AA33+AA38+AA46+AA58+AA70+AA74+AA83+AA97+AA102+AA111+AA120+AA131+AA141+AA165+AA200+AA207+AA237+AA269+AA275+AA279+AA286+AA291+AA301+AA174</f>
        <v>4854900</v>
      </c>
      <c r="AB304" s="145">
        <f>AB8+AB20+AB28+AB33+AB38+AB46+AB58+AB70+AB74+AB83+AB97+AB102+AB111+AB120+AB131+AB141+AB165+AB200+AB207+AB237+AB269+AB275+AB279+AB286+AB291+AB301+AB174</f>
        <v>282700</v>
      </c>
      <c r="AE304" s="145">
        <f>AE8+AE20+AE28+AE33+AE38+AE46+AE58+AE70+AE74+AE83+AE97+AE102+AE111+AE120+AE131+AE141+AE165+AE200+AE207+AE237+AE269+AE275+AE279+AE286+AE291+AE301+AE174</f>
        <v>4954150</v>
      </c>
      <c r="AH304" s="145">
        <f>AH8+AH20+AH28+AH33+AH38+AH46+AH58+AH70+AH74+AH83+AH97+AH102+AH111+AH120+AH131+AH141+AH165+AH200+AH207+AH237+AH269+AH275+AH279+AH286+AH291+AH301+AH174</f>
        <v>4665142.3800000008</v>
      </c>
      <c r="AI304" s="20">
        <f t="shared" ref="AI304:AI305" si="674">AH304/AE304</f>
        <v>0.94166353057537633</v>
      </c>
      <c r="AK304" s="145">
        <f>AK8+AK20+AK28+AK33+AK38+AK46+AK58+AK70+AK74+AK83+AK97+AK102+AK111+AK120+AK131+AK141+AK165+AK200+AK207+AK237+AK269+AK275+AK279+AK286+AK291+AK301+AK174</f>
        <v>4265000</v>
      </c>
      <c r="AL304" s="229">
        <f t="shared" ref="AL304:AL305" si="675">AK304/L304</f>
        <v>0.98955918310086655</v>
      </c>
      <c r="AM304" s="20">
        <f t="shared" ref="AM304:AM305" si="676">AK304/AE304</f>
        <v>0.86089440166325204</v>
      </c>
      <c r="AN304" s="20">
        <f t="shared" ref="AN304:AN305" si="677">AK304/AH304</f>
        <v>0.91422718806708725</v>
      </c>
      <c r="AR304" s="145">
        <f>AR8+AR20+AR28+AR33+AR38+AR46+AR58+AR70+AR74+AR83+AR97+AR102+AR111+AR120+AR131+AR141+AR165+AR200+AR207+AR237+AR269+AR275+AR279+AR286+AR291+AR301+AR174</f>
        <v>100000</v>
      </c>
      <c r="AS304" s="145">
        <f>AS8+AS20+AS28+AS33+AS38+AS46+AS58+AS70+AS74+AS83+AS97+AS102+AS111+AS120+AS131+AS141+AS165+AS200+AS207+AS237+AS269+AS275+AS279+AS286+AS291+AS301+AS174</f>
        <v>4365000</v>
      </c>
      <c r="AU304" s="145">
        <f>AU8+AU20+AU28+AU33+AU38+AU46+AU58+AU70+AU74+AU83+AU97+AU102+AU111+AU120+AU131+AU141+AU165+AU200+AU207+AU237+AU269+AU275+AU279+AU286+AU291+AU301+AU174+AU178</f>
        <v>150300</v>
      </c>
      <c r="AV304" s="145">
        <f>AV8+AV20+AV28+AV33+AV38+AV46+AV58+AV70+AV74+AV83+AV97+AV102+AV111+AV120+AV131+AV141+AV165+AV200+AV207+AV237+AV269+AV275+AV279+AV286+AV291+AV301+AV174+AV178</f>
        <v>4515300</v>
      </c>
      <c r="AX304" s="145">
        <f>AX8+AX20+AX28+AX33+AX38+AX46+AX58+AX70+AX74+AX83+AX97+AX102+AX111+AX120+AX131+AX141+AX165+AX200+AX207+AX237+AX269+AX275+AX279+AX286+AX291+AX301+AX174+AX178</f>
        <v>49297.26</v>
      </c>
      <c r="AY304" s="145">
        <f>AY8+AY20+AY28+AY33+AY38+AY46+AY58+AY70+AY74+AY83+AY97+AY102+AY111+AY120+AY131+AY141+AY165+AY200+AY207+AY237+AY269+AY275+AY279+AY286+AY291+AY301+AY174+AY178</f>
        <v>4564597.26</v>
      </c>
      <c r="BA304" s="145">
        <f>BA8+BA20+BA28+BA33+BA38+BA46+BA58+BA70+BA74+BA83+BA97+BA102+BA111+BA120+BA131+BA141+BA165+BA200+BA207+BA237+BA269+BA275+BA279+BA286+BA291+BA301+BA174+BA178</f>
        <v>0</v>
      </c>
      <c r="BB304" s="145">
        <f>BB8+BB20+BB28+BB33+BB38+BB46+BB58+BB70+BB74+BB83+BB97+BB102+BB111+BB120+BB131+BB141+BB165+BB200+BB207+BB237+BB269+BB275+BB279+BB286+BB291+BB301+BB174+BB178</f>
        <v>4564597.26</v>
      </c>
      <c r="BD304" s="145">
        <f>BD8+BD20+BD28+BD33+BD38+BD46+BD58+BD70+BD74+BD83+BD97+BD102+BD111+BD120+BD131+BD141+BD165+BD200+BD207+BD237+BD269+BD275+BD279+BD286+BD291+BD301+BD174+BD178</f>
        <v>845803</v>
      </c>
      <c r="BE304" s="145">
        <f>BE8+BE20+BE28+BE33+BE38+BE46+BE58+BE70+BE74+BE83+BE97+BE102+BE111+BE120+BE131+BE141+BE165+BE200+BE207+BE237+BE269+BE275+BE279+BE286+BE291+BE301+BE174+BE178</f>
        <v>5410400.2599999998</v>
      </c>
      <c r="BG304" s="145">
        <f>BG8+BG20+BG28+BG33+BG38+BG46+BG58+BG70+BG74+BG83+BG97+BG102+BG111+BG120+BG131+BG141+BG165+BG200+BG207+BG237+BG269+BG275+BG279+BG286+BG291+BG301+BG174+BG178</f>
        <v>0</v>
      </c>
      <c r="BH304" s="145">
        <f>BH8+BH20+BH28+BH33+BH38+BH46+BH58+BH70+BH74+BH83+BH97+BH102+BH111+BH120+BH131+BH141+BH165+BH200+BH207+BH237+BH269+BH275+BH279+BH286+BH291+BH301+BH174+BH178</f>
        <v>5410400.2599999998</v>
      </c>
      <c r="BJ304" s="145">
        <f>BJ8+BJ20+BJ28+BJ33+BJ38+BJ46+BJ58+BJ70+BJ74+BJ83+BJ97+BJ102+BJ111+BJ120+BJ131+BJ141+BJ165+BJ200+BJ207+BJ237+BJ269+BJ275+BJ279+BJ286+BJ291+BJ301+BJ174+BJ178</f>
        <v>5053214.4800000004</v>
      </c>
      <c r="BK304" s="280">
        <f t="shared" ref="BK304:BK305" si="678">BJ304/BH304</f>
        <v>0.93398163484488683</v>
      </c>
      <c r="BM304" s="145">
        <f>BM8+BM20+BM28+BM33+BM38+BM46+BM58+BM70+BM74+BM83+BM97+BM102+BM111+BM120+BM131+BM141+BM165+BM200+BM207+BM237+BM269+BM275+BM279+BM286+BM291+BM301+BM174+BM178+BM124</f>
        <v>7195600</v>
      </c>
      <c r="BN304" s="280">
        <f t="shared" ref="BN304" si="679">BM304/BJ304</f>
        <v>1.4239648897705208</v>
      </c>
      <c r="BO304" s="280">
        <f t="shared" ref="BO304" si="680">BM304/BH304</f>
        <v>1.3299570557095901</v>
      </c>
      <c r="BQ304" s="145">
        <f>BQ8+BQ20+BQ28+BQ33+BQ38+BQ46+BQ58+BQ70+BQ74+BQ83+BQ97+BQ102+BQ111+BQ120+BQ131+BQ141+BQ165+BQ200+BQ207+BQ237+BQ269+BQ275+BQ279+BQ286+BQ291+BQ301+BQ174+BQ178+BQ124+BQ176</f>
        <v>0</v>
      </c>
      <c r="BR304" s="145">
        <f>BR8+BR20+BR28+BR33+BR38+BR46+BR58+BR70+BR74+BR83+BR97+BR102+BR111+BR120+BR131+BR141+BR165+BR200+BR207+BR237+BR269+BR275+BR279+BR286+BR291+BR301+BR174+BR178+BR124+BR176</f>
        <v>7195600</v>
      </c>
      <c r="BT304" s="145">
        <f>BT8+BT20+BT28+BT33+BT38+BT46+BT58+BT70+BT74+BT83+BT97+BT102+BT111+BT120+BT131+BT141+BT165+BT200+BT207+BT237+BT269+BT275+BT279+BT286+BT291+BT301+BT174+BT178+BT124+BT176</f>
        <v>0</v>
      </c>
      <c r="BU304" s="145">
        <f>BU8+BU20+BU28+BU33+BU38+BU46+BU58+BU70+BU74+BU83+BU97+BU102+BU111+BU120+BU131+BU141+BU165+BU200+BU207+BU237+BU269+BU275+BU279+BU286+BU291+BU301+BU174+BU178+BU124+BU176</f>
        <v>7195600</v>
      </c>
      <c r="BW304" s="145">
        <f>BW8+BW20+BW28+BW33+BW38+BW46+BW58+BW70+BW74+BW83+BW97+BW102+BW111+BW120+BW131+BW141+BW165+BW200+BW207+BW237+BW269+BW275+BW279+BW286+BW291+BW301+BW174+BW178+BW124+BW176</f>
        <v>110366</v>
      </c>
      <c r="BX304" s="145">
        <f>BX8+BX20+BX28+BX33+BX38+BX46+BX58+BX70+BX74+BX83+BX97+BX102+BX111+BX120+BX131+BX141+BX165+BX200+BX207+BX237+BX269+BX275+BX279+BX286+BX291+BX301+BX174+BX178+BX124+BX176</f>
        <v>7305966</v>
      </c>
      <c r="BZ304" s="145">
        <f>BZ8+BZ20+BZ28+BZ33+BZ38+BZ46+BZ58+BZ70+BZ74+BZ83+BZ97+BZ102+BZ111+BZ120+BZ131+BZ141+BZ165+BZ200+BZ207+BZ237+BZ269+BZ275+BZ279+BZ286+BZ291+BZ301+BZ174+BZ178+BZ124+BZ176</f>
        <v>26000</v>
      </c>
      <c r="CA304" s="145">
        <f>CA8+CA20+CA28+CA33+CA38+CA46+CA58+CA70+CA74+CA83+CA97+CA102+CA111+CA120+CA131+CA141+CA165+CA200+CA207+CA237+CA269+CA275+CA279+CA286+CA291+CA301+CA174+CA178+CA124+CA176</f>
        <v>7331966</v>
      </c>
      <c r="CC304" s="145">
        <f>CC8+CC20+CC28+CC33+CC38+CC46+CC58+CC70+CC74+CC83+CC97+CC102+CC111+CC120+CC131+CC141+CC165+CC200+CC207+CC237+CC269+CC275+CC279+CC286+CC291+CC301+CC174+CC178+CC124+CC176</f>
        <v>241888.89</v>
      </c>
      <c r="CD304" s="145">
        <f>CD8+CD20+CD28+CD33+CD38+CD46+CD58+CD70+CD74+CD83+CD97+CD102+CD111+CD120+CD131+CD141+CD165+CD200+CD207+CD237+CD269+CD275+CD279+CD286+CD291+CD301+CD174+CD178+CD124+CD176</f>
        <v>7573854.8900000006</v>
      </c>
      <c r="CF304" s="145">
        <f>CF8+CF20+CF28+CF33+CF38+CF46+CF58+CF70+CF74+CF83+CF97+CF102+CF111+CF120+CF131+CF141+CF165+CF200+CF207+CF237+CF269+CF275+CF279+CF286+CF291+CF301+CF174+CF178+CF124+CF176</f>
        <v>0</v>
      </c>
      <c r="CG304" s="145">
        <f>CG8+CG20+CG28+CG33+CG38+CG46+CG58+CG70+CG74+CG83+CG97+CG102+CG111+CG120+CG131+CG141+CG165+CG200+CG207+CG237+CG269+CG275+CG279+CG286+CG291+CG301+CG174+CG178+CG124+CG176</f>
        <v>7573854.8900000006</v>
      </c>
      <c r="CI304" s="145">
        <f>CI8+CI20+CI28+CI33+CI38+CI46+CI58+CI70+CI74+CI83+CI97+CI102+CI111+CI120+CI131+CI141+CI165+CI200+CI207+CI237+CI269+CI275+CI279+CI286+CI291+CI301+CI174+CI178+CI124+CI176</f>
        <v>0</v>
      </c>
      <c r="CJ304" s="145">
        <f>CJ8+CJ20+CJ28+CJ33+CJ38+CJ46+CJ58+CJ70+CJ74+CJ83+CJ97+CJ102+CJ111+CJ120+CJ131+CJ141+CJ165+CJ200+CJ207+CJ237+CJ269+CJ275+CJ279+CJ286+CJ291+CJ301+CJ174+CJ178+CJ124+CJ176</f>
        <v>7573854.8900000006</v>
      </c>
      <c r="CL304" s="393">
        <f>CL8+CL20+CL28+CL33+CL38+CL46+CL58+CL70+CL74+CL83+CL97+CL102+CL111+CL120+CL131+CL141+CL165+CL200+CL207+CL237+CL269+CL275+CL279+CL286+CL291+CL301+CL174+CL178+CL124+CL176</f>
        <v>0</v>
      </c>
      <c r="CM304" s="145">
        <f>CM8+CM20+CM28+CM33+CM38+CM46+CM58+CM70+CM74+CM83+CM97+CM102+CM111+CM120+CM131+CM141+CM165+CM200+CM207+CM237+CM269+CM275+CM279+CM286+CM291+CM301+CM174+CM178+CM124+CM176</f>
        <v>7573854.8900000006</v>
      </c>
      <c r="CO304" s="145">
        <f>CO8+CO20+CO28+CO33+CO38+CO46+CO58+CO70+CO74+CO83+CO97+CO102+CO111+CO120+CO131+CO141+CO165+CO200+CO207+CO237+CO269+CO275+CO279+CO286+CO291+CO301+CO174+CO178+CO124+CO176</f>
        <v>152000</v>
      </c>
      <c r="CP304" s="145">
        <f>CP8+CP20+CP28+CP33+CP38+CP46+CP58+CP70+CP74+CP83+CP97+CP102+CP111+CP120+CP131+CP141+CP165+CP200+CP207+CP237+CP269+CP275+CP279+CP286+CP291+CP301+CP174+CP178+CP124+CP176</f>
        <v>7725854.8900000006</v>
      </c>
      <c r="CR304" s="145">
        <f>CR8+CR20+CR28+CR33+CR38+CR46+CR58+CR70+CR74+CR83+CR97+CR102+CR111+CR120+CR131+CR141+CR165+CR200+CR207+CR237+CR269+CR275+CR279+CR286+CR291+CR301+CR174+CR178+CR124+CR176</f>
        <v>0</v>
      </c>
      <c r="CS304" s="145">
        <f>CS8+CS20+CS28+CS33+CS38+CS46+CS58+CS70+CS74+CS83+CS97+CS102+CS111+CS120+CS131+CS141+CS165+CS200+CS207+CS237+CS269+CS275+CS279+CS286+CS291+CS301+CS174+CS178+CS124+CS176</f>
        <v>7725854.8900000006</v>
      </c>
      <c r="CU304" s="145">
        <f>CU8+CU20+CU28+CU33+CU38+CU46+CU58+CU70+CU74+CU83+CU97+CU102+CU111+CU120+CU131+CU141+CU165+CU200+CU207+CU237+CU269+CU275+CU279+CU286+CU291+CU301+CU174+CU178+CU124+CU176</f>
        <v>-246000</v>
      </c>
      <c r="CV304" s="145">
        <f>CV8+CV20+CV28+CV33+CV38+CV46+CV58+CV70+CV74+CV83+CV97+CV102+CV111+CV120+CV131+CV141+CV165+CV200+CV207+CV237+CV269+CV275+CV279+CV286+CV291+CV301+CV174+CV178+CV124+CV176</f>
        <v>7479854.8899999997</v>
      </c>
      <c r="CX304" s="145">
        <f>CX8+CX20+CX28+CX33+CX38+CX46+CX58+CX70+CX74+CX83+CX97+CX102+CX111+CX120+CX131+CX141+CX165+CX200+CX207+CX237+CX269+CX275+CX279+CX286+CX291+CX301+CX174+CX178+CX124+CX176</f>
        <v>0</v>
      </c>
      <c r="CY304" s="145">
        <f>CY8+CY20+CY28+CY33+CY38+CY46+CY58+CY70+CY74+CY83+CY97+CY102+CY111+CY120+CY131+CY141+CY165+CY200+CY207+CY237+CY269+CY275+CY279+CY286+CY291+CY301+CY174+CY178+CY124+CY176</f>
        <v>7479854.8899999997</v>
      </c>
      <c r="DA304" s="145">
        <f>DA8+DA20+DA28+DA33+DA38+DA46+DA58+DA70+DA74+DA83+DA97+DA102+DA111+DA120+DA131+DA141+DA165+DA200+DA207+DA237+DA269+DA275+DA279+DA286+DA291+DA301+DA174+DA178+DA124+DA176</f>
        <v>7594747.4400000004</v>
      </c>
      <c r="DC304" s="145">
        <f>DC8+DC20+DC28+DC33+DC38+DC46+DC58+DC70+DC74+DC83+DC97+DC102+DC111+DC120+DC131+DC141+DC165+DC200+DC207+DC237+DC269+DC275+DC279+DC286+DC291+DC301+DC174+DC178+DC124+DC176</f>
        <v>6251689.0999999996</v>
      </c>
    </row>
    <row r="305" spans="1:109" ht="16.5" thickTop="1" thickBot="1">
      <c r="A305" s="87"/>
      <c r="B305" s="88" t="s">
        <v>362</v>
      </c>
      <c r="C305" s="344" t="s">
        <v>322</v>
      </c>
      <c r="D305" s="89">
        <f>D21+D71+D84+D98+D112+D121+D166+D201+D270</f>
        <v>895000</v>
      </c>
      <c r="E305" s="90"/>
      <c r="F305" s="89">
        <f>F21+F71+F84+F98+F112+F121+F166+F201+F270</f>
        <v>777393</v>
      </c>
      <c r="G305" s="90"/>
      <c r="H305" s="89"/>
      <c r="I305" s="89">
        <f>I21+I71+I84+I98+I112+I121+I166+I201+I270</f>
        <v>159585</v>
      </c>
      <c r="J305" s="87"/>
      <c r="K305" s="87"/>
      <c r="L305" s="146">
        <f>L21+L71+L84+L98+L112+L121+L166+L201+L270</f>
        <v>446000</v>
      </c>
      <c r="M305" s="86">
        <f>L305/F305-1</f>
        <v>-0.42628760485365835</v>
      </c>
      <c r="N305" s="86">
        <f>L305/I305-1</f>
        <v>1.7947488799072593</v>
      </c>
      <c r="Q305" s="146">
        <f>Q21+Q71+Q84+Q98+Q112+Q121+Q166+Q201+Q270</f>
        <v>810000</v>
      </c>
      <c r="R305" s="146">
        <f>R21+R71+R84+R98+R112+R121+R166+R201+R270</f>
        <v>621154</v>
      </c>
      <c r="S305" s="146">
        <f>S21+S71+S84+S98+S112+S121+S166+S201+S270</f>
        <v>874000</v>
      </c>
      <c r="T305" s="146">
        <f>T21+T71+T84+T98+T112+T121+T166+T201+T270</f>
        <v>64000</v>
      </c>
      <c r="U305" s="175">
        <f>S305/Q305-1</f>
        <v>7.9012345679012386E-2</v>
      </c>
      <c r="Y305" s="146">
        <f>Y21+Y71+Y84+Y98+Y112+Y121+Y166+Y201+Y270</f>
        <v>874000</v>
      </c>
      <c r="Z305" s="146"/>
      <c r="AA305" s="146">
        <f>AA21+AA71+AA84+AA98+AA112+AA121+AA166+AA201+AA270</f>
        <v>903850</v>
      </c>
      <c r="AB305" s="146">
        <f>AB21+AB71+AB84+AB98+AB112+AB121+AB166+AB201+AB270</f>
        <v>29850</v>
      </c>
      <c r="AE305" s="146">
        <f>AE21+AE71+AE84+AE98+AE112+AE121+AE166+AE201+AE270</f>
        <v>935250</v>
      </c>
      <c r="AH305" s="146">
        <f>AH21+AH71+AH84+AH98+AH112+AH121+AH166+AH201+AH270</f>
        <v>897748.58000000007</v>
      </c>
      <c r="AI305" s="20">
        <f t="shared" si="674"/>
        <v>0.95990225073509761</v>
      </c>
      <c r="AK305" s="146">
        <f>AK21+AK71+AK84+AK98+AK112+AK121+AK166+AK201+AK270</f>
        <v>400000</v>
      </c>
      <c r="AL305" s="229">
        <f t="shared" si="675"/>
        <v>0.89686098654708524</v>
      </c>
      <c r="AM305" s="20">
        <f t="shared" si="676"/>
        <v>0.42769313017909649</v>
      </c>
      <c r="AN305" s="20">
        <f t="shared" si="677"/>
        <v>0.44555904505022997</v>
      </c>
      <c r="AR305" s="146">
        <f>AR21+AR71+AR84+AR98+AR112+AR121+AR166+AR201+AR270</f>
        <v>0</v>
      </c>
      <c r="AS305" s="146">
        <f>AS21+AS71+AS84+AS98+AS112+AS121+AS166+AS201+AS270</f>
        <v>400000</v>
      </c>
      <c r="AU305" s="146">
        <f>AU21+AU71+AU84+AU98+AU112+AU121+AU166+AU201+AU270</f>
        <v>0</v>
      </c>
      <c r="AV305" s="146">
        <f>AV21+AV71+AV84+AV98+AV112+AV121+AV166+AV201+AV270</f>
        <v>400000</v>
      </c>
      <c r="AX305" s="146">
        <f>AX21+AX71+AX84+AX98+AX112+AX121+AX166+AX201+AX270</f>
        <v>49297.26</v>
      </c>
      <c r="AY305" s="146">
        <f>AY21+AY71+AY84+AY98+AY112+AY121+AY166+AY201+AY270</f>
        <v>449297.26</v>
      </c>
      <c r="BA305" s="146">
        <f>BA21+BA71+BA84+BA98+BA112+BA121+BA166+BA201+BA270</f>
        <v>0</v>
      </c>
      <c r="BB305" s="146">
        <f>BB21+BB71+BB84+BB98+BB112+BB121+BB166+BB201+BB270</f>
        <v>449297.26</v>
      </c>
      <c r="BD305" s="146">
        <f>BD21+BD71+BD84+BD98+BD112+BD121+BD166+BD201+BD270</f>
        <v>491203</v>
      </c>
      <c r="BE305" s="146">
        <f>BE21+BE71+BE84+BE98+BE112+BE121+BE166+BE201+BE270</f>
        <v>940500.26</v>
      </c>
      <c r="BG305" s="146">
        <f>BG21+BG71+BG84+BG98+BG112+BG121+BG166+BG201+BG270</f>
        <v>0</v>
      </c>
      <c r="BH305" s="146">
        <f>BH21+BH71+BH84+BH98+BH112+BH121+BH166+BH201+BH270</f>
        <v>940500.26</v>
      </c>
      <c r="BJ305" s="146">
        <f>BJ21+BJ71+BJ84+BJ98+BJ112+BJ121+BJ166+BJ201+BJ270</f>
        <v>891391.18000000017</v>
      </c>
      <c r="BK305" s="280">
        <f t="shared" si="678"/>
        <v>0.94778408673698844</v>
      </c>
      <c r="BM305" s="291">
        <f>BM21+BM71+BM84+BM98+BM112+BM121+BM166+BM201+BM270</f>
        <v>2002000</v>
      </c>
      <c r="BN305" s="280">
        <f t="shared" ref="BN305:BN309" si="681">BM305/BJ305</f>
        <v>2.2459275399157526</v>
      </c>
      <c r="BO305" s="280">
        <f t="shared" ref="BO305:BO309" si="682">BM305/BH305</f>
        <v>2.1286543822965025</v>
      </c>
      <c r="BQ305" s="291">
        <f>BQ21+BQ71+BQ84+BQ98+BQ112+BQ121+BQ166+BQ201+BQ270</f>
        <v>0</v>
      </c>
      <c r="BR305" s="291">
        <f>BR21+BR71+BR84+BR98+BR112+BR121+BR166+BR201+BR270</f>
        <v>2002000</v>
      </c>
      <c r="BT305" s="291">
        <f>BT21+BT71+BT84+BT98+BT112+BT121+BT166+BT201+BT270</f>
        <v>0</v>
      </c>
      <c r="BU305" s="291">
        <f>BU21+BU71+BU84+BU98+BU112+BU121+BU166+BU201+BU270</f>
        <v>2002000</v>
      </c>
      <c r="BW305" s="291">
        <f>BW21+BW71+BW84+BW98+BW112+BW121+BW166+BW201+BW270</f>
        <v>220000</v>
      </c>
      <c r="BX305" s="291">
        <f>BX21+BX71+BX84+BX98+BX112+BX121+BX166+BX201+BX270</f>
        <v>2222000</v>
      </c>
      <c r="BZ305" s="291">
        <f>BZ21+BZ71+BZ84+BZ98+BZ112+BZ121+BZ166+BZ201+BZ270</f>
        <v>1000</v>
      </c>
      <c r="CA305" s="291">
        <f>CA21+CA71+CA84+CA98+CA112+CA121+CA166+CA201+CA270</f>
        <v>2223000</v>
      </c>
      <c r="CC305" s="291">
        <f>CC21+CC71+CC84+CC98+CC112+CC121+CC166+CC201+CC270</f>
        <v>0</v>
      </c>
      <c r="CD305" s="291">
        <f>CD21+CD71+CD84+CD98+CD112+CD121+CD166+CD201+CD270</f>
        <v>2223000</v>
      </c>
      <c r="CF305" s="291">
        <f>CF21+CF71+CF84+CF98+CF112+CF121+CF166+CF201+CF270</f>
        <v>0</v>
      </c>
      <c r="CG305" s="291">
        <f>CG21+CG71+CG84+CG98+CG112+CG121+CG166+CG201+CG270</f>
        <v>2223000</v>
      </c>
      <c r="CI305" s="291">
        <f>CI21+CI71+CI84+CI98+CI112+CI121+CI166+CI201+CI270</f>
        <v>0</v>
      </c>
      <c r="CJ305" s="291">
        <f>CJ21+CJ71+CJ84+CJ98+CJ112+CJ121+CJ166+CJ201+CJ270</f>
        <v>2223000</v>
      </c>
      <c r="CL305" s="394">
        <f>CL21+CL71+CL84+CL98+CL112+CL121+CL166+CL201+CL270</f>
        <v>0</v>
      </c>
      <c r="CM305" s="291">
        <f>CM21+CM71+CM84+CM98+CM112+CM121+CM166+CM201+CM270</f>
        <v>2223000</v>
      </c>
      <c r="CO305" s="291">
        <f>CO21+CO71+CO84+CO98+CO112+CO121+CO166+CO201+CO270</f>
        <v>0</v>
      </c>
      <c r="CP305" s="291">
        <f>CP21+CP71+CP84+CP98+CP112+CP121+CP166+CP201+CP270</f>
        <v>2223000</v>
      </c>
      <c r="CR305" s="291">
        <f>CR21+CR71+CR84+CR98+CR112+CR121+CR166+CR201+CR270</f>
        <v>0</v>
      </c>
      <c r="CS305" s="291">
        <f>CS21+CS71+CS84+CS98+CS112+CS121+CS166+CS201+CS270</f>
        <v>2223000</v>
      </c>
      <c r="CU305" s="291">
        <f>CU21+CU71+CU84+CU98+CU112+CU121+CU166+CU201+CU270</f>
        <v>-106000</v>
      </c>
      <c r="CV305" s="291">
        <f>CV21+CV71+CV84+CV98+CV112+CV121+CV166+CV201+CV270</f>
        <v>2117000</v>
      </c>
      <c r="CX305" s="291">
        <f>CX21+CX71+CX84+CX98+CX112+CX121+CX166+CX201+CX270</f>
        <v>0</v>
      </c>
      <c r="CY305" s="291">
        <f>CY21+CY71+CY84+CY98+CY112+CY121+CY166+CY201+CY270</f>
        <v>2117000</v>
      </c>
      <c r="DA305" s="291">
        <f>DA21+DA71+DA84+DA98+DA112+DA121+DA166+DA201+DA270</f>
        <v>2115232.5699999998</v>
      </c>
      <c r="DC305" s="291">
        <f>DC21+DC71+DC84+DC98+DC112+DC121+DC166+DC201+DC270</f>
        <v>247048</v>
      </c>
    </row>
    <row r="306" spans="1:109" ht="15.75" thickTop="1">
      <c r="Y306" s="134"/>
      <c r="Z306" s="134"/>
      <c r="AH306" s="134"/>
      <c r="AL306" s="143"/>
      <c r="AR306" s="134"/>
      <c r="AS306" s="134"/>
      <c r="AU306" s="134"/>
      <c r="AV306" s="134"/>
      <c r="AX306" s="134"/>
      <c r="AY306" s="134"/>
      <c r="BA306" s="134"/>
      <c r="BB306" s="134"/>
      <c r="BD306" s="134"/>
      <c r="BE306" s="134"/>
      <c r="BG306" s="134"/>
      <c r="BH306" s="134"/>
      <c r="BJ306" s="134"/>
      <c r="BM306" s="134"/>
      <c r="BN306" s="279"/>
      <c r="BO306" s="279"/>
      <c r="BQ306" s="134"/>
      <c r="BR306" s="134"/>
      <c r="BT306" s="134"/>
      <c r="BU306" s="134"/>
      <c r="BW306" s="134"/>
      <c r="BX306" s="134"/>
      <c r="BZ306" s="134"/>
      <c r="CA306" s="134"/>
      <c r="CC306" s="134"/>
      <c r="CD306" s="134"/>
      <c r="CF306" s="134"/>
      <c r="CG306" s="134"/>
      <c r="CI306" s="134"/>
      <c r="CJ306" s="134"/>
      <c r="CL306" s="143"/>
      <c r="CM306" s="134"/>
      <c r="CO306" s="134"/>
      <c r="CP306" s="134"/>
      <c r="CR306" s="134"/>
      <c r="CS306" s="134"/>
      <c r="CU306" s="134"/>
      <c r="CV306" s="134"/>
      <c r="CX306" s="134"/>
      <c r="CY306" s="134"/>
      <c r="DA306" s="134"/>
      <c r="DC306" s="134"/>
    </row>
    <row r="307" spans="1:109" ht="15.75" thickBot="1">
      <c r="A307" s="93"/>
      <c r="B307" s="93" t="s">
        <v>281</v>
      </c>
      <c r="C307" s="340" t="s">
        <v>323</v>
      </c>
      <c r="D307" s="98">
        <f>D202+D167+D142+D132+D113+D103+D22</f>
        <v>900000</v>
      </c>
      <c r="E307" s="99"/>
      <c r="F307" s="98">
        <f>F202+F167+F142+F132+F113+F103+F22</f>
        <v>470400</v>
      </c>
      <c r="G307" s="99"/>
      <c r="H307" s="98"/>
      <c r="I307" s="98">
        <f>I202+I167+I142+I132+I113+I103+I22</f>
        <v>624582.71</v>
      </c>
      <c r="J307" s="93"/>
      <c r="K307" s="93"/>
      <c r="L307" s="147">
        <f>L202+L167+L142+L132+L113+L103+L22</f>
        <v>1760000</v>
      </c>
      <c r="M307" s="97">
        <f>L307/F307-1</f>
        <v>2.7414965986394559</v>
      </c>
      <c r="N307" s="97">
        <f>L307/I307-1</f>
        <v>1.8178813979656914</v>
      </c>
      <c r="Q307" s="147">
        <f>Q202+Q167+Q142+Q132+Q113+Q103+Q22</f>
        <v>1808000</v>
      </c>
      <c r="R307" s="147">
        <f>R202+R167+R142+R132+R113+R103+R22</f>
        <v>264855</v>
      </c>
      <c r="S307" s="147">
        <f>S202+S167+S142+S132+S113+S103+S22</f>
        <v>1348500</v>
      </c>
      <c r="T307" s="147">
        <f>T202+T167+T142+T132+T113+T103+T22</f>
        <v>-459500</v>
      </c>
      <c r="Y307" s="147">
        <f>Y271+Y202+Y167+Y142+Y132+Y113+Y103+Y22</f>
        <v>1356500</v>
      </c>
      <c r="Z307" s="147"/>
      <c r="AA307" s="147">
        <f>AA271+AA202+AA167+AA142+AA132+AA113+AA103+AA22</f>
        <v>1365610</v>
      </c>
      <c r="AB307" s="147">
        <f>AB271+AB202+AB167+AB142+AB132+AB113+AB103+AB22</f>
        <v>9110</v>
      </c>
      <c r="AE307" s="147">
        <f>AE271+AE202+AE167+AE142+AE132+AE113+AE103+AE22</f>
        <v>1365610</v>
      </c>
      <c r="AF307" s="18"/>
      <c r="AH307" s="147">
        <f>AH271+AH202+AH167+AH142+AH132+AH113+AH103+AH22</f>
        <v>1363785.12</v>
      </c>
      <c r="AI307" s="20">
        <f t="shared" ref="AI307" si="683">AH307/AE307</f>
        <v>0.99866368875447609</v>
      </c>
      <c r="AK307" s="147">
        <f>AK271+AK202+AK167+AK142+AK132+AK113+AK103+AK22</f>
        <v>564000</v>
      </c>
      <c r="AL307" s="229">
        <f>AK307/L307</f>
        <v>0.32045454545454544</v>
      </c>
      <c r="AM307" s="20">
        <f>AK307/AE307</f>
        <v>0.41300224807961278</v>
      </c>
      <c r="AN307" s="20">
        <f>AK307/AH307</f>
        <v>0.41355488612458241</v>
      </c>
      <c r="AR307" s="147">
        <f>AR271+AR202+AR167+AR142+AR132+AR113+AR103+AR22</f>
        <v>0</v>
      </c>
      <c r="AS307" s="147">
        <f>AS271+AS202+AS167+AS142+AS132+AS113+AS103+AS22</f>
        <v>564000</v>
      </c>
      <c r="AU307" s="147">
        <f>AU271+AU202+AU167+AU142+AU132+AU113+AU103+AU22</f>
        <v>0</v>
      </c>
      <c r="AV307" s="147">
        <f>AV271+AV202+AV167+AV142+AV132+AV113+AV103+AV22</f>
        <v>564000</v>
      </c>
      <c r="AX307" s="147">
        <f>AX271+AX202+AX167+AX142+AX132+AX113+AX103+AX22</f>
        <v>0</v>
      </c>
      <c r="AY307" s="147">
        <f>AY271+AY202+AY167+AY142+AY132+AY113+AY103+AY22</f>
        <v>564000</v>
      </c>
      <c r="BA307" s="147">
        <f>BA271+BA202+BA167+BA142+BA132+BA113+BA103+BA22</f>
        <v>0</v>
      </c>
      <c r="BB307" s="147">
        <f>BB271+BB202+BB167+BB142+BB132+BB113+BB103+BB22</f>
        <v>564000</v>
      </c>
      <c r="BD307" s="147">
        <f>BD271+BD202+BD167+BD142+BD132+BD113+BD103+BD22</f>
        <v>-416900</v>
      </c>
      <c r="BE307" s="147">
        <f>BE271+BE202+BE167+BE142+BE132+BE113+BE103+BE22</f>
        <v>147100</v>
      </c>
      <c r="BG307" s="147">
        <f>BG271+BG202+BG167+BG142+BG132+BG113+BG103+BG22+BG122</f>
        <v>0</v>
      </c>
      <c r="BH307" s="147">
        <f>BH271+BH202+BH167+BH142+BH132+BH113+BH103+BH22+BH122</f>
        <v>147100</v>
      </c>
      <c r="BJ307" s="147">
        <f>BJ271+BJ202+BJ167+BJ142+BJ132+BJ113+BJ103+BJ22+BJ122</f>
        <v>146088</v>
      </c>
      <c r="BK307" s="281">
        <f t="shared" ref="BK307" si="684">BJ307/BH307</f>
        <v>0.99312032630863356</v>
      </c>
      <c r="BM307" s="147">
        <f>BM271+BM202+BM167+BM142+BM132+BM113+BM103+BM22+BM125</f>
        <v>2057900</v>
      </c>
      <c r="BN307" s="281">
        <f t="shared" ref="BN307" si="685">BM307/BJ307</f>
        <v>14.086714856798642</v>
      </c>
      <c r="BO307" s="281">
        <f t="shared" ref="BO307" si="686">BM307/BH307</f>
        <v>13.989802855200544</v>
      </c>
      <c r="BQ307" s="147">
        <f>BQ271+BQ202+BQ167+BQ142+BQ132+BQ113+BQ103+BQ22+BQ125</f>
        <v>0</v>
      </c>
      <c r="BR307" s="147">
        <f>BR271+BR202+BR167+BR142+BR132+BR113+BR103+BR22+BR125</f>
        <v>2057900</v>
      </c>
      <c r="BT307" s="147">
        <f>BT271+BT202+BT167+BT142+BT132+BT113+BT103+BT22+BT125</f>
        <v>0</v>
      </c>
      <c r="BU307" s="147">
        <f>BU271+BU202+BU167+BU142+BU132+BU113+BU103+BU22+BU125</f>
        <v>2057900</v>
      </c>
      <c r="BW307" s="147">
        <f>BW271+BW202+BW167+BW142+BW132+BW113+BW103+BW22+BW125</f>
        <v>60000</v>
      </c>
      <c r="BX307" s="147">
        <f>BX271+BX202+BX167+BX142+BX132+BX113+BX103+BX22+BX125</f>
        <v>2117900</v>
      </c>
      <c r="BZ307" s="147">
        <f>BZ271+BZ202+BZ167+BZ142+BZ132+BZ113+BZ103+BZ22+BZ125</f>
        <v>0</v>
      </c>
      <c r="CA307" s="147">
        <f>CA271+CA202+CA167+CA142+CA132+CA113+CA103+CA22+CA125</f>
        <v>2117900</v>
      </c>
      <c r="CC307" s="147">
        <f>CC271+CC202+CC167+CC142+CC132+CC113+CC103+CC22+CC125</f>
        <v>0</v>
      </c>
      <c r="CD307" s="147">
        <f>CD271+CD202+CD167+CD142+CD132+CD113+CD103+CD22+CD125</f>
        <v>2117900</v>
      </c>
      <c r="CF307" s="147">
        <f>CF271+CF202+CF167+CF142+CF132+CF113+CF103+CF22+CF125</f>
        <v>0</v>
      </c>
      <c r="CG307" s="147">
        <f>CG271+CG202+CG167+CG142+CG132+CG113+CG103+CG22+CG125</f>
        <v>2117900</v>
      </c>
      <c r="CI307" s="147">
        <f>CI271+CI202+CI167+CI142+CI132+CI113+CI103+CI22+CI125</f>
        <v>0</v>
      </c>
      <c r="CJ307" s="147">
        <f>CJ271+CJ202+CJ167+CJ142+CJ132+CJ113+CJ103+CJ22+CJ125</f>
        <v>2117900</v>
      </c>
      <c r="CL307" s="393">
        <f>CL271+CL202+CL167+CL142+CL132+CL113+CL103+CL22+CL125</f>
        <v>0</v>
      </c>
      <c r="CM307" s="147">
        <f>CM271+CM202+CM167+CM142+CM132+CM113+CM103+CM22+CM125</f>
        <v>2117900</v>
      </c>
      <c r="CO307" s="147">
        <f>CO271+CO202+CO167+CO142+CO132+CO113+CO103+CO22+CO125+CO59</f>
        <v>0</v>
      </c>
      <c r="CP307" s="147">
        <f>CP271+CP202+CP167+CP142+CP132+CP113+CP103+CP22+CP125+CP59</f>
        <v>2117900</v>
      </c>
      <c r="CR307" s="147">
        <f>CR271+CR202+CR167+CR142+CR132+CR113+CR103+CR22+CR125+CR59</f>
        <v>242000</v>
      </c>
      <c r="CS307" s="147">
        <f>CS271+CS202+CS167+CS142+CS132+CS113+CS103+CS22+CS125+CS59</f>
        <v>2359900</v>
      </c>
      <c r="CU307" s="147">
        <f>CU271+CU202+CU167+CU142+CU132+CU113+CU103+CU22+CU125+CU59</f>
        <v>122700</v>
      </c>
      <c r="CV307" s="147">
        <f>CV271+CV202+CV167+CV142+CV132+CV113+CV103+CV22+CV125+CV59</f>
        <v>2482600</v>
      </c>
      <c r="CX307" s="147">
        <f>CX271+CX202+CX167+CX142+CX132+CX113+CX103+CX22+CX125+CX59</f>
        <v>0</v>
      </c>
      <c r="CY307" s="147">
        <f>CY271+CY202+CY167+CY142+CY132+CY113+CY103+CY22+CY125+CY59</f>
        <v>2482600</v>
      </c>
      <c r="DA307" s="147">
        <f>DA271+DA202+DA167+DA142+DA132+DA113+DA103+DA22+DA125+DA59</f>
        <v>2481231</v>
      </c>
      <c r="DC307" s="147">
        <f>DC271+DC202+DC167+DC142+DC132+DC113+DC103+DC22+DC125+DC59+DC85</f>
        <v>539700</v>
      </c>
    </row>
    <row r="308" spans="1:109" ht="16.5" thickTop="1" thickBot="1">
      <c r="R308" s="134"/>
      <c r="T308" s="134"/>
      <c r="Y308" s="134"/>
      <c r="Z308" s="134"/>
      <c r="AH308" s="18"/>
      <c r="AR308" s="134"/>
      <c r="AS308" s="134"/>
      <c r="AU308" s="134"/>
      <c r="AV308" s="134"/>
      <c r="AX308" s="134"/>
      <c r="AY308" s="134"/>
      <c r="BA308" s="134"/>
      <c r="BB308" s="134"/>
      <c r="BD308" s="134"/>
      <c r="BE308" s="134"/>
      <c r="BG308" s="134"/>
      <c r="BH308" s="134"/>
      <c r="BJ308" s="134"/>
      <c r="BM308" s="134"/>
      <c r="BN308" s="279"/>
      <c r="BO308" s="279"/>
      <c r="BQ308" s="134"/>
      <c r="BR308" s="134"/>
      <c r="BT308" s="134"/>
      <c r="BU308" s="134"/>
      <c r="BW308" s="134"/>
      <c r="BX308" s="134"/>
      <c r="BZ308" s="134"/>
      <c r="CA308" s="134"/>
      <c r="CC308" s="134"/>
      <c r="CD308" s="134"/>
      <c r="CF308" s="134"/>
      <c r="CG308" s="134"/>
      <c r="CI308" s="134"/>
      <c r="CJ308" s="134"/>
      <c r="CL308" s="143"/>
      <c r="CM308" s="134"/>
      <c r="CO308" s="134"/>
      <c r="CP308" s="134"/>
      <c r="CR308" s="134"/>
      <c r="CS308" s="134"/>
      <c r="CU308" s="134"/>
      <c r="CV308" s="134"/>
      <c r="CX308" s="134"/>
      <c r="CY308" s="134"/>
      <c r="DA308" s="134"/>
      <c r="DC308" s="134"/>
    </row>
    <row r="309" spans="1:109" ht="15.75" thickBot="1">
      <c r="A309" s="179"/>
      <c r="B309" s="179"/>
      <c r="C309" s="345" t="s">
        <v>266</v>
      </c>
      <c r="D309" s="180"/>
      <c r="E309" s="181"/>
      <c r="F309" s="180"/>
      <c r="G309" s="181"/>
      <c r="H309" s="180"/>
      <c r="I309" s="180"/>
      <c r="J309" s="179"/>
      <c r="K309" s="179"/>
      <c r="L309" s="182">
        <f>L304+L307</f>
        <v>6069999.9199999999</v>
      </c>
      <c r="M309" s="179"/>
      <c r="N309" s="179"/>
      <c r="Q309" s="182">
        <f>Q304+Q307</f>
        <v>6722400</v>
      </c>
      <c r="R309" s="182">
        <f>R304+R307</f>
        <v>2751761</v>
      </c>
      <c r="S309" s="182">
        <f>S304+S307</f>
        <v>5885000</v>
      </c>
      <c r="T309" s="182">
        <f>T304+T307</f>
        <v>-846900</v>
      </c>
      <c r="U309" s="183">
        <f>S309/Q309-1</f>
        <v>-0.12456860645007739</v>
      </c>
      <c r="Y309" s="182">
        <f>Y304+Y307</f>
        <v>5928700</v>
      </c>
      <c r="Z309" s="182"/>
      <c r="AA309" s="182">
        <f>AA304+AA307</f>
        <v>6220510</v>
      </c>
      <c r="AB309" s="182">
        <f>AB304+AB307</f>
        <v>291810</v>
      </c>
      <c r="AE309" s="182">
        <f>AE304+AE307</f>
        <v>6319760</v>
      </c>
      <c r="AF309" s="213">
        <f t="shared" ref="AF309" si="687">AE309-AA309</f>
        <v>99250</v>
      </c>
      <c r="AH309" s="182">
        <f>AH304+AH307</f>
        <v>6028927.5000000009</v>
      </c>
      <c r="AI309" s="20">
        <f t="shared" ref="AI309" si="688">AH309/AE309</f>
        <v>0.95398045178930857</v>
      </c>
      <c r="AK309" s="182">
        <f>AK304+AK307</f>
        <v>4829000</v>
      </c>
      <c r="AL309" s="229">
        <f>AK309/L309</f>
        <v>0.79555190504846007</v>
      </c>
      <c r="AM309" s="20">
        <f>AK309/AE309</f>
        <v>0.76411129536564681</v>
      </c>
      <c r="AN309" s="20">
        <f>AK309/AH309</f>
        <v>0.80097164877169269</v>
      </c>
      <c r="AR309" s="182">
        <f>AR304+AR307</f>
        <v>100000</v>
      </c>
      <c r="AS309" s="182">
        <f>AS304+AS307</f>
        <v>4929000</v>
      </c>
      <c r="AU309" s="182">
        <f>AU304+AU307</f>
        <v>150300</v>
      </c>
      <c r="AV309" s="182">
        <f>AV304+AV307</f>
        <v>5079300</v>
      </c>
      <c r="AX309" s="182">
        <f>AX304+AX307</f>
        <v>49297.26</v>
      </c>
      <c r="AY309" s="182">
        <f>AY304+AY307</f>
        <v>5128597.26</v>
      </c>
      <c r="BA309" s="182">
        <f>BA304+BA307</f>
        <v>0</v>
      </c>
      <c r="BB309" s="182">
        <f>BB304+BB307</f>
        <v>5128597.26</v>
      </c>
      <c r="BD309" s="182">
        <f>BD304+BD307</f>
        <v>428903</v>
      </c>
      <c r="BE309" s="182">
        <f>BE304+BE307</f>
        <v>5557500.2599999998</v>
      </c>
      <c r="BG309" s="182">
        <f>BG304+BG307</f>
        <v>0</v>
      </c>
      <c r="BH309" s="182">
        <f>BH304+BH307</f>
        <v>5557500.2599999998</v>
      </c>
      <c r="BJ309" s="182">
        <f>BJ304+BJ307</f>
        <v>5199302.4800000004</v>
      </c>
      <c r="BK309" s="284">
        <f t="shared" ref="BK309" si="689">BJ309/BH309</f>
        <v>0.93554696117998937</v>
      </c>
      <c r="BM309" s="182">
        <f>BM304+BM307</f>
        <v>9253500</v>
      </c>
      <c r="BN309" s="284">
        <f t="shared" si="681"/>
        <v>1.779757964764535</v>
      </c>
      <c r="BO309" s="284">
        <f t="shared" si="682"/>
        <v>1.6650471555713433</v>
      </c>
      <c r="BQ309" s="182">
        <f>BQ304+BQ307</f>
        <v>0</v>
      </c>
      <c r="BR309" s="182">
        <f>BR304+BR307</f>
        <v>9253500</v>
      </c>
      <c r="BT309" s="182">
        <f>BT304+BT307</f>
        <v>0</v>
      </c>
      <c r="BU309" s="182">
        <f>BU304+BU307</f>
        <v>9253500</v>
      </c>
      <c r="BW309" s="182">
        <f>BW304+BW307</f>
        <v>170366</v>
      </c>
      <c r="BX309" s="182">
        <f>BX304+BX307</f>
        <v>9423866</v>
      </c>
      <c r="BZ309" s="182">
        <f>BZ304+BZ307</f>
        <v>26000</v>
      </c>
      <c r="CA309" s="182">
        <f>CA304+CA307</f>
        <v>9449866</v>
      </c>
      <c r="CC309" s="182">
        <f>CC304+CC307</f>
        <v>241888.89</v>
      </c>
      <c r="CD309" s="182">
        <f>CD304+CD307</f>
        <v>9691754.8900000006</v>
      </c>
      <c r="CF309" s="182">
        <f>CF304+CF307</f>
        <v>0</v>
      </c>
      <c r="CG309" s="182">
        <f>CG304+CG307</f>
        <v>9691754.8900000006</v>
      </c>
      <c r="CI309" s="182">
        <f>CI304+CI307</f>
        <v>0</v>
      </c>
      <c r="CJ309" s="182">
        <f>CJ304+CJ307</f>
        <v>9691754.8900000006</v>
      </c>
      <c r="CL309" s="143">
        <f>CL304+CL307</f>
        <v>0</v>
      </c>
      <c r="CM309" s="182">
        <f>CM304+CM307</f>
        <v>9691754.8900000006</v>
      </c>
      <c r="CO309" s="182">
        <f>CO304+CO307</f>
        <v>152000</v>
      </c>
      <c r="CP309" s="182">
        <f>CP304+CP307</f>
        <v>9843754.8900000006</v>
      </c>
      <c r="CR309" s="182">
        <f>CR304+CR307</f>
        <v>242000</v>
      </c>
      <c r="CS309" s="182">
        <f>CS304+CS307</f>
        <v>10085754.890000001</v>
      </c>
      <c r="CU309" s="182">
        <f>CU304+CU307</f>
        <v>-123300</v>
      </c>
      <c r="CV309" s="182">
        <f>CV304+CV307</f>
        <v>9962454.8900000006</v>
      </c>
      <c r="CX309" s="182">
        <f>CX304+CX307</f>
        <v>0</v>
      </c>
      <c r="CY309" s="182">
        <f>CY304+CY307</f>
        <v>9962454.8900000006</v>
      </c>
      <c r="DA309" s="182">
        <f>DA304+DA307</f>
        <v>10075978.440000001</v>
      </c>
      <c r="DC309" s="182">
        <f>DC304+DC307</f>
        <v>6791389.0999999996</v>
      </c>
    </row>
    <row r="310" spans="1:109">
      <c r="R310" s="134"/>
      <c r="T310" s="134"/>
      <c r="Y310" s="134"/>
      <c r="AH310" s="18"/>
    </row>
    <row r="311" spans="1:109" ht="15.75">
      <c r="B311" s="442" t="s">
        <v>320</v>
      </c>
      <c r="C311" s="443" t="s">
        <v>330</v>
      </c>
      <c r="D311" s="49"/>
      <c r="E311" s="69"/>
      <c r="F311" s="49"/>
      <c r="G311" s="69"/>
      <c r="H311" s="49"/>
      <c r="I311" s="49"/>
      <c r="J311" s="68"/>
      <c r="K311" s="68" t="s">
        <v>336</v>
      </c>
      <c r="L311" s="148">
        <v>3181800</v>
      </c>
      <c r="M311" s="49">
        <f>SUBTOTAL(9,L5:L302)</f>
        <v>12585999.84</v>
      </c>
      <c r="Q311" s="148"/>
      <c r="R311" s="148"/>
      <c r="S311" s="148"/>
      <c r="T311" s="148"/>
      <c r="Y311" s="148"/>
      <c r="AH311" s="18"/>
      <c r="BJ311" s="18">
        <v>5199303</v>
      </c>
      <c r="DC311" s="427">
        <f>DC297+DC296+DC295+DC287+DC272+DC264+DC256+DC253+DC251+DC250+DC249+DC244+DC242+DC241+DC240+DC239+DC238+DC205+DC204+DC203+DC187+DC186+DC185+DC184+DC168+DC159+DC153+DC152+DC146+DC145+DC144+DC143+DC135+DC137+DC133+DC116+DC89+DC88+DC87+DC78+DC77+DC64+DC63+DC65+DC60+DC47+DC43+DC35+DC30+(ROZPOČETnávrh!F22)*(-1)</f>
        <v>4343141.0999999996</v>
      </c>
      <c r="DD311" s="428">
        <f>DC311/ROZPOČETnávrh!F5</f>
        <v>0.70892222185949327</v>
      </c>
      <c r="DE311" s="428">
        <f>DC311/ROZPOČETnávrh!F9</f>
        <v>0.61724005990805886</v>
      </c>
    </row>
    <row r="312" spans="1:109">
      <c r="AH312" s="18">
        <f>AH282+AH283</f>
        <v>1269500</v>
      </c>
    </row>
    <row r="313" spans="1:109">
      <c r="AC313" s="221">
        <f>SUM(AC5:AC312)</f>
        <v>291810</v>
      </c>
      <c r="AD313" s="221"/>
      <c r="AF313" s="215">
        <f>SUM(AF5:AF303)</f>
        <v>97550</v>
      </c>
      <c r="AH313" s="18"/>
      <c r="BJ313" s="18">
        <f>BJ304+BJ282+BJ283</f>
        <v>5454014.4800000004</v>
      </c>
    </row>
  </sheetData>
  <autoFilter ref="A4:GG302">
    <filterColumn colId="1"/>
    <filterColumn colId="98"/>
    <filterColumn colId="99"/>
    <filterColumn colId="100"/>
    <filterColumn colId="101"/>
    <filterColumn colId="102"/>
    <filterColumn colId="103"/>
    <filterColumn colId="104"/>
    <filterColumn colId="105"/>
  </autoFilter>
  <mergeCells count="7">
    <mergeCell ref="AE3:AF3"/>
    <mergeCell ref="AA3:AB3"/>
    <mergeCell ref="A1:H1"/>
    <mergeCell ref="D2:H2"/>
    <mergeCell ref="A302:C302"/>
    <mergeCell ref="O208:O214"/>
    <mergeCell ref="C75:Q75"/>
  </mergeCells>
  <pageMargins left="0.17" right="0.17" top="0.23" bottom="0.21" header="0.17" footer="0.17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5</vt:i4>
      </vt:variant>
    </vt:vector>
  </HeadingPairs>
  <TitlesOfParts>
    <vt:vector size="16" baseType="lpstr">
      <vt:lpstr>ROZPOČET_RO4</vt:lpstr>
      <vt:lpstr>ROZPOČET_RO3</vt:lpstr>
      <vt:lpstr>ROZPOČET_RO2</vt:lpstr>
      <vt:lpstr>VÝHLED_FINAL</vt:lpstr>
      <vt:lpstr>ROZPOČET_FINAL</vt:lpstr>
      <vt:lpstr>VÝHLEDnávrh</vt:lpstr>
      <vt:lpstr>ROZPOČETnávrh</vt:lpstr>
      <vt:lpstr>Rozpis_Příjmy</vt:lpstr>
      <vt:lpstr>Rozpis_Výdaje</vt:lpstr>
      <vt:lpstr>2023_vlastní aktivity</vt:lpstr>
      <vt:lpstr>odměny ZO 2023</vt:lpstr>
      <vt:lpstr>ROZPOČET_FINAL!Oblast_tisku</vt:lpstr>
      <vt:lpstr>ROZPOČET_RO2!Oblast_tisku</vt:lpstr>
      <vt:lpstr>ROZPOČET_RO3!Oblast_tisku</vt:lpstr>
      <vt:lpstr>ROZPOČET_RO4!Oblast_tisku</vt:lpstr>
      <vt:lpstr>ROZPOČETnávrh!Oblast_tisku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Ondratice</dc:creator>
  <cp:lastModifiedBy>Obec Ondratice</cp:lastModifiedBy>
  <cp:lastPrinted>2023-02-08T15:51:26Z</cp:lastPrinted>
  <dcterms:created xsi:type="dcterms:W3CDTF">2019-11-12T13:13:30Z</dcterms:created>
  <dcterms:modified xsi:type="dcterms:W3CDTF">2023-02-16T12:28:46Z</dcterms:modified>
</cp:coreProperties>
</file>